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łgorzata\Downloads\"/>
    </mc:Choice>
  </mc:AlternateContent>
  <xr:revisionPtr revIDLastSave="0" documentId="13_ncr:1_{D6374B17-92E5-43D2-9D3A-EC431CB45DF4}" xr6:coauthVersionLast="47" xr6:coauthVersionMax="47" xr10:uidLastSave="{00000000-0000-0000-0000-000000000000}"/>
  <bookViews>
    <workbookView xWindow="-110" yWindow="-110" windowWidth="19420" windowHeight="11020" tabRatio="686" firstSheet="3" activeTab="9" xr2:uid="{00000000-000D-0000-FFFF-FFFF00000000}"/>
  </bookViews>
  <sheets>
    <sheet name="Styczeń" sheetId="4" r:id="rId1"/>
    <sheet name="Luty" sheetId="5" r:id="rId2"/>
    <sheet name="Marzec" sheetId="17" r:id="rId3"/>
    <sheet name="Kwiecień" sheetId="18" r:id="rId4"/>
    <sheet name="Maj" sheetId="19" r:id="rId5"/>
    <sheet name="Czerwiec" sheetId="20" r:id="rId6"/>
    <sheet name="Lipiec" sheetId="21" r:id="rId7"/>
    <sheet name="Sierpień" sheetId="22" r:id="rId8"/>
    <sheet name="Wrzesień" sheetId="23" r:id="rId9"/>
    <sheet name="Październik" sheetId="24" r:id="rId10"/>
    <sheet name="Listopad" sheetId="25" r:id="rId11"/>
    <sheet name="Grudzień" sheetId="15" r:id="rId12"/>
    <sheet name="Nazwa prac" sheetId="16" r:id="rId13"/>
  </sheets>
  <definedNames>
    <definedName name="_xlnm._FilterDatabase" localSheetId="12" hidden="1">'Nazwa prac'!$B$3:$B$14</definedName>
    <definedName name="Etykieta_klucza_niestandardowego_1">Styczeń!$Q$2</definedName>
    <definedName name="Etykieta_klucza_niestandardowego_2">Styczeń!$V$2</definedName>
    <definedName name="Etykieta_klucza_Osobiste">Styczeń!$G$2</definedName>
    <definedName name="Etykieta_klucza_Urlop">Styczeń!$C$2</definedName>
    <definedName name="Etykieta_klucza_Zwolnienie_lekarskie">Styczeń!$K$2</definedName>
    <definedName name="Klucz_nazwisko">Styczeń!$B$2</definedName>
    <definedName name="Klucz_niestandardowy_1">Styczeń!$P$2</definedName>
    <definedName name="Klucz_niestandardowy_2">Styczeń!$U$2</definedName>
    <definedName name="Klucz_Osobiste">Styczeń!$F$2</definedName>
    <definedName name="Klucz_Urlop">Styczeń!#REF!</definedName>
    <definedName name="Klucz_Zwolnienie_lekarskie">Styczeń!$J$2</definedName>
    <definedName name="Nazwa_miesiąca" localSheetId="5">'Czerwiec'!$B$4</definedName>
    <definedName name="Nazwa_miesiąca" localSheetId="11">Grudzień!$B$4</definedName>
    <definedName name="Nazwa_miesiąca" localSheetId="3">Kwiecień!$B$4</definedName>
    <definedName name="Nazwa_miesiąca" localSheetId="6">Lipiec!$B$4</definedName>
    <definedName name="Nazwa_miesiąca" localSheetId="10">Listopad!$B$4</definedName>
    <definedName name="Nazwa_miesiąca" localSheetId="1">Luty!$B$4</definedName>
    <definedName name="Nazwa_miesiąca" localSheetId="4">Maj!$B$4</definedName>
    <definedName name="Nazwa_miesiąca" localSheetId="2">Marzec!$B$4</definedName>
    <definedName name="Nazwa_miesiąca" localSheetId="9">Październik!$B$4</definedName>
    <definedName name="Nazwa_miesiąca" localSheetId="7">Sierpień!$B$4</definedName>
    <definedName name="Nazwa_miesiąca" localSheetId="0">Styczeń!$B$4</definedName>
    <definedName name="Nazwa_miesiąca" localSheetId="8">Wrzesień!$B$4</definedName>
    <definedName name="Rok_kalendarzowy">Styczeń!$AH$4</definedName>
    <definedName name="Tytuł_kolumny_13">Imię_i_nazwisko_pracownika[[#Headers],[Typ prac]]</definedName>
    <definedName name="Tytuł_Nieobecności_pracowników">Styczeń!$B$1</definedName>
    <definedName name="Tytuł1">Styczeń[[#Headers],[Typ prac]]</definedName>
    <definedName name="Tytuł10">Październik[[#Headers],[Typ prac]]</definedName>
    <definedName name="Tytuł11">Listopad[[#Headers],[Typ prac]]</definedName>
    <definedName name="Tytuł12">Grudzień[[#Headers],[Typ prac]]</definedName>
    <definedName name="Tytuł2">Luty[[#Headers],[Typ prac]]</definedName>
    <definedName name="Tytuł3">Marzec[[#Headers],[Typ prac]]</definedName>
    <definedName name="Tytuł4">Kwiecień[[#Headers],[Typ prac]]</definedName>
    <definedName name="Tytuł5">Maj[[#Headers],[Typ prac]]</definedName>
    <definedName name="Tytuł6">Czerwiec[[#Headers],[Typ prac]]</definedName>
    <definedName name="Tytuł7">Lipiec[[#Headers],[Typ prac]]</definedName>
    <definedName name="Tytuł8">Sierpień[[#Headers],[Typ prac]]</definedName>
    <definedName name="Tytuł9">Wrzesień[[#Headers],[Typ prac]]</definedName>
    <definedName name="_xlnm.Print_Titles" localSheetId="5">'Czerwiec'!$4:$6</definedName>
    <definedName name="_xlnm.Print_Titles" localSheetId="11">Grudzień!$4:$6</definedName>
    <definedName name="_xlnm.Print_Titles" localSheetId="3">Kwiecień!$4:$6</definedName>
    <definedName name="_xlnm.Print_Titles" localSheetId="6">Lipiec!$4:$6</definedName>
    <definedName name="_xlnm.Print_Titles" localSheetId="10">Listopad!$4:$6</definedName>
    <definedName name="_xlnm.Print_Titles" localSheetId="1">Luty!$4:$6</definedName>
    <definedName name="_xlnm.Print_Titles" localSheetId="4">Maj!$4:$6</definedName>
    <definedName name="_xlnm.Print_Titles" localSheetId="2">Marzec!$4:$6</definedName>
    <definedName name="_xlnm.Print_Titles" localSheetId="9">Październik!$4:$6</definedName>
    <definedName name="_xlnm.Print_Titles" localSheetId="7">Sierpień!$4:$6</definedName>
    <definedName name="_xlnm.Print_Titles" localSheetId="0">Styczeń!$4:$6</definedName>
    <definedName name="_xlnm.Print_Titles" localSheetId="8">Wrzesień!$4:$6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1" i="22" l="1"/>
  <c r="AH12" i="22"/>
  <c r="AH13" i="22"/>
  <c r="B12" i="15"/>
  <c r="B12" i="25"/>
  <c r="B12" i="24"/>
  <c r="B12" i="23"/>
  <c r="B14" i="22"/>
  <c r="B12" i="21"/>
  <c r="B12" i="20"/>
  <c r="B12" i="19"/>
  <c r="B12" i="18"/>
  <c r="B12" i="17"/>
  <c r="B12" i="5"/>
  <c r="B12" i="4"/>
  <c r="AH7" i="25" l="1"/>
  <c r="AH8" i="25"/>
  <c r="AH9" i="25"/>
  <c r="AH10" i="25"/>
  <c r="AH11" i="25"/>
  <c r="AH7" i="23"/>
  <c r="AH8" i="23"/>
  <c r="AH9" i="23"/>
  <c r="AH10" i="23"/>
  <c r="AH11" i="23"/>
  <c r="AH7" i="20"/>
  <c r="AH8" i="20"/>
  <c r="AH9" i="20"/>
  <c r="AH10" i="20"/>
  <c r="AH11" i="20"/>
  <c r="AH7" i="18"/>
  <c r="AH8" i="18"/>
  <c r="AH9" i="18"/>
  <c r="AH10" i="18"/>
  <c r="AH11" i="18"/>
  <c r="AD12" i="15"/>
  <c r="AE12" i="15"/>
  <c r="AF12" i="15"/>
  <c r="AG12" i="15"/>
  <c r="AE12" i="25"/>
  <c r="AF12" i="25"/>
  <c r="AG12" i="25"/>
  <c r="AE12" i="24"/>
  <c r="AF12" i="24"/>
  <c r="AG12" i="24"/>
  <c r="AE12" i="23"/>
  <c r="AF12" i="23"/>
  <c r="AG12" i="23"/>
  <c r="AF14" i="22"/>
  <c r="AG14" i="22"/>
  <c r="AF12" i="21"/>
  <c r="AG12" i="21"/>
  <c r="AF12" i="20"/>
  <c r="AG12" i="20"/>
  <c r="AF12" i="19"/>
  <c r="AG12" i="19"/>
  <c r="AG12" i="18"/>
  <c r="AF12" i="18"/>
  <c r="AF12" i="17"/>
  <c r="AG12" i="17"/>
  <c r="AH9" i="4" l="1"/>
  <c r="AH10" i="4"/>
  <c r="AF5" i="25" l="1"/>
  <c r="AE5" i="25"/>
  <c r="AD5" i="25"/>
  <c r="AC5" i="25"/>
  <c r="AB5" i="25"/>
  <c r="AA5" i="25"/>
  <c r="Z5" i="25"/>
  <c r="Y5" i="25"/>
  <c r="X5" i="25"/>
  <c r="W5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H4" i="25"/>
  <c r="B1" i="25"/>
  <c r="AG5" i="24"/>
  <c r="AF5" i="24"/>
  <c r="AE5" i="24"/>
  <c r="AD5" i="24"/>
  <c r="AC5" i="24"/>
  <c r="AB5" i="24"/>
  <c r="AA5" i="24"/>
  <c r="Z5" i="24"/>
  <c r="Y5" i="24"/>
  <c r="X5" i="24"/>
  <c r="W5" i="24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AH11" i="24"/>
  <c r="AH10" i="24"/>
  <c r="AH9" i="24"/>
  <c r="AH8" i="24"/>
  <c r="AH7" i="24"/>
  <c r="AH4" i="24"/>
  <c r="B1" i="24"/>
  <c r="AF5" i="23"/>
  <c r="AE5" i="23"/>
  <c r="AD5" i="23"/>
  <c r="AC5" i="23"/>
  <c r="AB5" i="23"/>
  <c r="AA5" i="23"/>
  <c r="Z5" i="23"/>
  <c r="Y5" i="23"/>
  <c r="X5" i="23"/>
  <c r="W5" i="23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AH12" i="23"/>
  <c r="AH4" i="23"/>
  <c r="B1" i="23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AH10" i="22"/>
  <c r="AH9" i="22"/>
  <c r="AH8" i="22"/>
  <c r="AH7" i="22"/>
  <c r="AH4" i="22"/>
  <c r="B1" i="22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AH11" i="21"/>
  <c r="AH10" i="21"/>
  <c r="AH9" i="21"/>
  <c r="AH8" i="21"/>
  <c r="AH7" i="21"/>
  <c r="AH4" i="21"/>
  <c r="B1" i="21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AH4" i="20"/>
  <c r="B1" i="20"/>
  <c r="AG5" i="19"/>
  <c r="AF5" i="19"/>
  <c r="AE5" i="19"/>
  <c r="AD5" i="19"/>
  <c r="AC5" i="19"/>
  <c r="AB5" i="19"/>
  <c r="AA5" i="19"/>
  <c r="Z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AH11" i="19"/>
  <c r="AH10" i="19"/>
  <c r="AH9" i="19"/>
  <c r="AH8" i="19"/>
  <c r="AH7" i="19"/>
  <c r="AH4" i="19"/>
  <c r="B1" i="19"/>
  <c r="AF5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AH12" i="18"/>
  <c r="AH4" i="18"/>
  <c r="B1" i="18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AH11" i="17"/>
  <c r="AH10" i="17"/>
  <c r="AH9" i="17"/>
  <c r="AH8" i="17"/>
  <c r="AH7" i="17"/>
  <c r="AH4" i="17"/>
  <c r="B1" i="17"/>
  <c r="B1" i="15"/>
  <c r="B1" i="5"/>
  <c r="AH12" i="21" l="1"/>
  <c r="AH12" i="17"/>
  <c r="AH14" i="22"/>
  <c r="AH12" i="25"/>
  <c r="AH12" i="20"/>
  <c r="AH12" i="19"/>
  <c r="AH12" i="24"/>
  <c r="AB5" i="5"/>
  <c r="AH4" i="5" l="1"/>
  <c r="AH4" i="15" l="1"/>
  <c r="C12" i="4" l="1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7" i="15" l="1"/>
  <c r="AH8" i="15"/>
  <c r="AH9" i="15"/>
  <c r="AH10" i="15"/>
  <c r="AH11" i="15"/>
  <c r="AH12" i="15" l="1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G5" i="15" l="1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AH11" i="5" l="1"/>
  <c r="AH10" i="5"/>
  <c r="AH9" i="5"/>
  <c r="AH11" i="4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H8" i="5"/>
  <c r="AH7" i="5"/>
  <c r="AE5" i="5"/>
  <c r="AD5" i="5"/>
  <c r="AC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AH12" i="5" l="1"/>
  <c r="AH7" i="4"/>
  <c r="AH8" i="4"/>
  <c r="AH12" i="4" l="1"/>
  <c r="AE5" i="4"/>
  <c r="AA5" i="4"/>
  <c r="W5" i="4"/>
  <c r="O5" i="4"/>
  <c r="G5" i="4"/>
  <c r="AD5" i="4"/>
  <c r="Z5" i="4"/>
  <c r="R5" i="4"/>
  <c r="N5" i="4"/>
  <c r="F5" i="4"/>
  <c r="M5" i="4"/>
  <c r="AG5" i="4"/>
  <c r="AC5" i="4"/>
  <c r="Y5" i="4"/>
  <c r="S5" i="4"/>
  <c r="K5" i="4"/>
  <c r="E5" i="4"/>
  <c r="AF5" i="4"/>
  <c r="AB5" i="4"/>
  <c r="X5" i="4"/>
  <c r="T5" i="4"/>
  <c r="P5" i="4"/>
  <c r="L5" i="4"/>
  <c r="H5" i="4"/>
  <c r="D5" i="4"/>
  <c r="Q5" i="4"/>
  <c r="I5" i="4"/>
  <c r="C5" i="4"/>
  <c r="V5" i="4"/>
  <c r="J5" i="4"/>
  <c r="U5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<sst xmlns="http://schemas.openxmlformats.org/spreadsheetml/2006/main" count="570" uniqueCount="66">
  <si>
    <t>Styczeń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</si>
  <si>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</si>
  <si>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</si>
  <si>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</si>
  <si>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</si>
  <si>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</si>
  <si>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</si>
  <si>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</si>
  <si>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</si>
  <si>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</si>
  <si>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</si>
  <si>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</si>
  <si>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</si>
  <si>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</si>
  <si>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</si>
  <si>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</si>
  <si>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</si>
  <si>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</si>
  <si>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</si>
  <si>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</si>
  <si>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</si>
  <si>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</si>
  <si>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</si>
  <si>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</si>
  <si>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</si>
  <si>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</si>
  <si>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</si>
  <si>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</si>
  <si>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</si>
  <si>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</si>
  <si>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</si>
  <si>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</si>
  <si>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Wprowadź rok:</t>
  </si>
  <si>
    <t>Łączna liczba dni</t>
  </si>
  <si>
    <t>Luty</t>
  </si>
  <si>
    <t xml:space="preserve"> </t>
  </si>
  <si>
    <t xml:space="preserve">  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</si>
  <si>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</si>
  <si>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</si>
  <si>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</si>
  <si>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</si>
  <si>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</si>
  <si>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</si>
  <si>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</si>
  <si>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</si>
  <si>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</si>
  <si>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</si>
  <si>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Wapno</t>
  </si>
  <si>
    <t>Nawożenie</t>
  </si>
  <si>
    <t>Aplikacja Herbicydów</t>
  </si>
  <si>
    <t>Aplikacja Fungicydów</t>
  </si>
  <si>
    <t>Przygotowanie redlin</t>
  </si>
  <si>
    <t>P</t>
  </si>
  <si>
    <t>Praca na polu</t>
  </si>
  <si>
    <t>Klucz typu prac</t>
  </si>
  <si>
    <t>Nazwa prac</t>
  </si>
  <si>
    <t>Prace</t>
  </si>
  <si>
    <t>Zbiór</t>
  </si>
  <si>
    <t>Nawożenie NPK</t>
  </si>
  <si>
    <t>Obornik</t>
  </si>
  <si>
    <t>Typ prac</t>
  </si>
  <si>
    <t>Brak</t>
  </si>
  <si>
    <t>Prace na polu</t>
  </si>
  <si>
    <t>Harmonogram prac na plantacji szparaga - rok 0 przygotowanie pola do sadzenia</t>
  </si>
  <si>
    <t>Wymiesznie z glebą</t>
  </si>
  <si>
    <t>Orka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</si>
</sst>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3" tint="-0.24994659260841701"/>
      <name val="Calibri"/>
      <family val="2"/>
      <scheme val="major"/>
    </font>
    <font>
      <b/>
      <sz val="18"/>
      <color theme="4" tint="-0.24994659260841701"/>
      <name val="Calibri"/>
      <family val="2"/>
      <scheme val="minor"/>
    </font>
    <font>
      <b/>
      <sz val="26"/>
      <color theme="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6" fillId="0" borderId="0" applyNumberFormat="0" applyFill="0" applyBorder="0" applyProtection="0">
      <alignment vertical="top"/>
    </xf>
    <xf numFmtId="0" fontId="4" fillId="0" borderId="0" applyNumberFormat="0" applyFill="0" applyBorder="0" applyProtection="0">
      <alignment vertical="top"/>
    </xf>
    <xf numFmtId="0" fontId="5" fillId="2" borderId="0" applyNumberFormat="0" applyBorder="0" applyProtection="0">
      <alignment horizontal="center" vertical="center"/>
    </xf>
    <xf numFmtId="0" fontId="2" fillId="20" borderId="0" applyNumberFormat="0" applyProtection="0">
      <alignment horizontal="right" vertical="center" indent="1"/>
    </xf>
    <xf numFmtId="0" fontId="1" fillId="0" borderId="0" applyNumberFormat="0" applyFill="0" applyBorder="0" applyProtection="0">
      <alignment horizontal="left" vertical="center" indent="2"/>
    </xf>
    <xf numFmtId="0" fontId="3" fillId="3" borderId="0" applyNumberFormat="0" applyBorder="0" applyAlignment="0" applyProtection="0"/>
    <xf numFmtId="0" fontId="1" fillId="4" borderId="0" applyNumberFormat="0" applyBorder="0" applyProtection="0">
      <alignment horizontal="center" vertical="center"/>
    </xf>
    <xf numFmtId="0" fontId="2" fillId="9" borderId="0" applyNumberFormat="0" applyBorder="0" applyAlignment="0" applyProtection="0"/>
    <xf numFmtId="0" fontId="1" fillId="5" borderId="0" applyNumberFormat="0" applyBorder="0" applyAlignment="0" applyProtection="0"/>
    <xf numFmtId="0" fontId="3" fillId="7" borderId="0" applyNumberFormat="0" applyBorder="0" applyAlignment="0" applyProtection="0"/>
    <xf numFmtId="0" fontId="1" fillId="6" borderId="0" applyNumberFormat="0" applyBorder="0" applyAlignment="0" applyProtection="0"/>
    <xf numFmtId="0" fontId="2" fillId="15" borderId="0" applyNumberFormat="0" applyBorder="0" applyAlignment="0" applyProtection="0"/>
    <xf numFmtId="0" fontId="1" fillId="8" borderId="0" applyNumberFormat="0" applyBorder="0" applyAlignment="0" applyProtection="0"/>
    <xf numFmtId="0" fontId="3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1" fillId="2" borderId="0" applyNumberFormat="0" applyBorder="0" applyAlignment="0" applyProtection="0"/>
    <xf numFmtId="0" fontId="2" fillId="12" borderId="0" applyNumberFormat="0" applyBorder="0" applyProtection="0">
      <alignment horizontal="left" vertical="center" indent="1"/>
    </xf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" fontId="1" fillId="0" borderId="0" applyFill="0" applyBorder="0" applyProtection="0">
      <alignment horizontal="center" vertical="center"/>
    </xf>
    <xf numFmtId="0" fontId="1" fillId="0" borderId="0" applyNumberFormat="0" applyFill="0" applyBorder="0">
      <alignment horizontal="left" vertical="center" wrapText="1" indent="2"/>
    </xf>
    <xf numFmtId="0" fontId="7" fillId="0" borderId="0">
      <alignment horizontal="center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1" applyNumberFormat="0" applyAlignment="0" applyProtection="0"/>
    <xf numFmtId="0" fontId="13" fillId="25" borderId="2" applyNumberFormat="0" applyAlignment="0" applyProtection="0"/>
    <xf numFmtId="0" fontId="14" fillId="25" borderId="1" applyNumberFormat="0" applyAlignment="0" applyProtection="0"/>
    <xf numFmtId="0" fontId="15" fillId="0" borderId="3" applyNumberFormat="0" applyFill="0" applyAlignment="0" applyProtection="0"/>
    <xf numFmtId="0" fontId="16" fillId="26" borderId="4" applyNumberFormat="0" applyAlignment="0" applyProtection="0"/>
    <xf numFmtId="0" fontId="17" fillId="0" borderId="0" applyNumberFormat="0" applyFill="0" applyBorder="0" applyAlignment="0" applyProtection="0"/>
    <xf numFmtId="0" fontId="1" fillId="27" borderId="5" applyNumberFormat="0" applyFont="0" applyAlignment="0" applyProtection="0"/>
    <xf numFmtId="0" fontId="18" fillId="0" borderId="0" applyNumberFormat="0" applyFill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>
      <alignment horizontal="left" vertical="center"/>
    </xf>
    <xf numFmtId="0" fontId="1" fillId="0" borderId="0" xfId="26">
      <alignment horizontal="left" vertical="center" wrapText="1" indent="2"/>
    </xf>
    <xf numFmtId="0" fontId="0" fillId="0" borderId="0" xfId="0" applyAlignment="1">
      <alignment horizontal="center" vertical="center"/>
    </xf>
    <xf numFmtId="166" fontId="2" fillId="9" borderId="0" xfId="8" applyNumberFormat="1" applyAlignment="1" applyProtection="1">
      <alignment horizontal="center" vertical="center"/>
    </xf>
    <xf numFmtId="0" fontId="1" fillId="0" borderId="0" xfId="26" applyFill="1" applyBorder="1">
      <alignment horizontal="left" vertical="center" wrapText="1" indent="2"/>
    </xf>
    <xf numFmtId="1" fontId="1" fillId="0" borderId="0" xfId="25" applyFill="1" applyBorder="1" applyProtection="1">
      <alignment horizontal="center" vertical="center"/>
    </xf>
    <xf numFmtId="0" fontId="5" fillId="2" borderId="0" xfId="3" applyProtection="1">
      <alignment horizontal="center" vertical="center"/>
    </xf>
    <xf numFmtId="166" fontId="0" fillId="0" borderId="0" xfId="0" applyNumberFormat="1" applyAlignment="1">
      <alignment horizontal="center" vertical="center"/>
    </xf>
    <xf numFmtId="0" fontId="6" fillId="0" borderId="0" xfId="1" applyProtection="1">
      <alignment vertical="top"/>
    </xf>
    <xf numFmtId="0" fontId="1" fillId="2" borderId="0" xfId="21" applyBorder="1" applyAlignment="1" applyProtection="1">
      <alignment horizontal="left" vertical="center" indent="1"/>
    </xf>
    <xf numFmtId="0" fontId="0" fillId="0" borderId="0" xfId="2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2" fillId="20" borderId="0" xfId="4" applyProtection="1">
      <alignment horizontal="right" vertical="center" indent="1"/>
    </xf>
    <xf numFmtId="0" fontId="7" fillId="0" borderId="0" xfId="27">
      <alignment horizontal="center"/>
    </xf>
    <xf numFmtId="0" fontId="0" fillId="0" borderId="0" xfId="0" applyAlignment="1">
      <alignment horizontal="left" vertical="center" indent="1"/>
    </xf>
    <xf numFmtId="0" fontId="6" fillId="0" borderId="0" xfId="1">
      <alignment vertical="top"/>
    </xf>
    <xf numFmtId="0" fontId="8" fillId="0" borderId="0" xfId="0" applyFont="1" applyAlignment="1">
      <alignment horizontal="center" vertical="center"/>
    </xf>
    <xf numFmtId="0" fontId="1" fillId="0" borderId="0" xfId="26" applyNumberFormat="1" applyFill="1">
      <alignment horizontal="left" vertical="center" wrapText="1" indent="2"/>
    </xf>
    <xf numFmtId="0" fontId="0" fillId="0" borderId="0" xfId="0" applyProtection="1">
      <alignment horizontal="left" vertical="center"/>
      <protection locked="0"/>
    </xf>
    <xf numFmtId="0" fontId="2" fillId="33" borderId="0" xfId="12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3" applyProtection="1">
      <alignment horizontal="center" vertical="center"/>
    </xf>
    <xf numFmtId="0" fontId="1" fillId="2" borderId="0" xfId="21" applyAlignment="1" applyProtection="1">
      <alignment horizontal="left" vertical="center"/>
    </xf>
    <xf numFmtId="0" fontId="2" fillId="34" borderId="0" xfId="12" applyFill="1" applyAlignment="1" applyProtection="1">
      <alignment horizontal="center" vertical="center"/>
    </xf>
    <xf numFmtId="0" fontId="1" fillId="34" borderId="0" xfId="21" applyFill="1" applyAlignment="1" applyProtection="1">
      <alignment horizontal="left" vertical="center"/>
    </xf>
    <xf numFmtId="0" fontId="2" fillId="34" borderId="0" xfId="19" applyFill="1" applyAlignment="1" applyProtection="1">
      <alignment horizontal="center" vertical="center"/>
    </xf>
    <xf numFmtId="0" fontId="2" fillId="34" borderId="0" xfId="23" applyFill="1" applyAlignment="1" applyProtection="1">
      <alignment horizontal="center" vertical="center"/>
    </xf>
    <xf numFmtId="166" fontId="2" fillId="34" borderId="0" xfId="24" applyNumberFormat="1" applyFill="1" applyAlignment="1" applyProtection="1">
      <alignment horizontal="center" vertical="center"/>
    </xf>
  </cellXfs>
  <cellStyles count="49">
    <cellStyle name="20% — akcent 1" xfId="15" builtinId="30" customBuiltin="1"/>
    <cellStyle name="20% — akcent 2" xfId="44" builtinId="34" customBuiltin="1"/>
    <cellStyle name="20% — akcent 3" xfId="21" builtinId="38" customBuiltin="1"/>
    <cellStyle name="20% — akcent 4" xfId="7" builtinId="42" customBuiltin="1"/>
    <cellStyle name="20% — akcent 5" xfId="47" builtinId="46" customBuiltin="1"/>
    <cellStyle name="20% — akcent 6" xfId="11" builtinId="50" customBuiltin="1"/>
    <cellStyle name="40% — akcent 1" xfId="16" builtinId="31" customBuiltin="1"/>
    <cellStyle name="40% — akcent 2" xfId="19" builtinId="35" customBuiltin="1"/>
    <cellStyle name="40% — akcent 3" xfId="22" builtinId="39" customBuiltin="1"/>
    <cellStyle name="40% — akcent 4" xfId="8" builtinId="43" customBuiltin="1"/>
    <cellStyle name="40% — akcent 5" xfId="24" builtinId="47" customBuiltin="1"/>
    <cellStyle name="40% — akcent 6" xfId="12" builtinId="51" customBuiltin="1"/>
    <cellStyle name="60% — akcent 1" xfId="17" builtinId="32" customBuiltin="1"/>
    <cellStyle name="60% — akcent 2" xfId="45" builtinId="36" customBuiltin="1"/>
    <cellStyle name="60% — akcent 3" xfId="23" builtinId="40" customBuiltin="1"/>
    <cellStyle name="60% — akcent 4" xfId="9" builtinId="44" customBuiltin="1"/>
    <cellStyle name="60% — akcent 5" xfId="48" builtinId="48" customBuiltin="1"/>
    <cellStyle name="60% — akcent 6" xfId="13" builtinId="52" customBuiltin="1"/>
    <cellStyle name="Akcent 1" xfId="14" builtinId="29" customBuiltin="1"/>
    <cellStyle name="Akcent 2" xfId="18" builtinId="33" customBuiltin="1"/>
    <cellStyle name="Akcent 3" xfId="20" builtinId="37" customBuiltin="1"/>
    <cellStyle name="Akcent 4" xfId="6" builtinId="41" customBuiltin="1"/>
    <cellStyle name="Akcent 5" xfId="46" builtinId="45" customBuiltin="1"/>
    <cellStyle name="Akcent 6" xfId="10" builtinId="49" customBuiltin="1"/>
    <cellStyle name="Dane wejściowe" xfId="36" builtinId="20" customBuiltin="1"/>
    <cellStyle name="Dane wyjściowe" xfId="37" builtinId="21" customBuiltin="1"/>
    <cellStyle name="Dobry" xfId="33" builtinId="26" customBuiltin="1"/>
    <cellStyle name="Dziesiętny" xfId="28" builtinId="3" customBuiltin="1"/>
    <cellStyle name="Dziesiętny [0]" xfId="29" builtinId="6" customBuiltin="1"/>
    <cellStyle name="Etykieta" xfId="27" xr:uid="{00000000-0005-0000-0000-000018000000}"/>
    <cellStyle name="Komórka połączona" xfId="39" builtinId="24" customBuiltin="1"/>
    <cellStyle name="Komórka zaznaczona" xfId="40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35" builtinId="28" customBuiltin="1"/>
    <cellStyle name="Normalny" xfId="0" builtinId="0" customBuiltin="1"/>
    <cellStyle name="Obliczenia" xfId="38" builtinId="22" customBuiltin="1"/>
    <cellStyle name="Pracownik" xfId="26" xr:uid="{00000000-0005-0000-0000-000013000000}"/>
    <cellStyle name="Procentowy" xfId="32" builtinId="5" customBuiltin="1"/>
    <cellStyle name="Suma" xfId="25" builtinId="25" customBuiltin="1"/>
    <cellStyle name="Tekst objaśnienia" xfId="43" builtinId="53" customBuiltin="1"/>
    <cellStyle name="Tekst ostrzeżenia" xfId="41" builtinId="11" customBuiltin="1"/>
    <cellStyle name="Tytuł" xfId="1" builtinId="15" customBuiltin="1"/>
    <cellStyle name="Uwaga" xfId="42" builtinId="10" customBuiltin="1"/>
    <cellStyle name="Walutowy" xfId="30" builtinId="4" customBuiltin="1"/>
    <cellStyle name="Walutowy [0]" xfId="31" builtinId="7" customBuiltin="1"/>
    <cellStyle name="Zły" xfId="34" builtinId="27" customBuiltin="1"/>
  </cellStyles>
  <dxfs count="903"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protection locked="0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" formatCode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" formatCode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" formatCode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" formatCode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</dxf>
    <dxf>
      <protection locked="1" hidden="0"/>
    </dxf>
    <dxf>
      <protection locked="1" hidden="0"/>
    </dxf>
    <dxf>
      <protection locked="1" hidden="0"/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</dxfs>
  <tableStyles count="1" defaultPivotStyle="PivotStyleLight16">
    <tableStyle name="Tabela Nieobecności pracowników" pivot="0" count="13" xr9:uid="{00000000-0011-0000-FFFF-FFFF00000000}">
      <tableStyleElement type="wholeTable" dxfId="902"/>
      <tableStyleElement type="headerRow" dxfId="901"/>
      <tableStyleElement type="totalRow" dxfId="900"/>
      <tableStyleElement type="firstColumn" dxfId="899"/>
      <tableStyleElement type="lastColumn" dxfId="898"/>
      <tableStyleElement type="firstRowStripe" dxfId="897"/>
      <tableStyleElement type="secondRowStripe" dxfId="896"/>
      <tableStyleElement type="firstColumnStripe" dxfId="895"/>
      <tableStyleElement type="secondColumnStripe" dxfId="894"/>
      <tableStyleElement type="firstHeaderCell" dxfId="893"/>
      <tableStyleElement type="lastHeaderCell" dxfId="892"/>
      <tableStyleElement type="firstTotalCell" dxfId="891"/>
      <tableStyleElement type="lastTotalCell" dxfId="89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tyczeń" displayName="Styczeń" ref="B6:AH12" totalsRowCount="1" headerRowDxfId="889" dataDxfId="888" totalsRowDxfId="887">
  <autoFilter ref="B6:AH1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Typ prac" totalsRowFunction="custom" dataDxfId="886" totalsRowDxfId="885" dataCellStyle="Pracownik">
      <totalsRowFormula>"Suma z "&amp;Nazwa_miesiąca</totalsRowFormula>
    </tableColumn>
    <tableColumn id="2" xr3:uid="{00000000-0010-0000-0000-000002000000}" name="1" totalsRowFunction="custom" dataDxfId="884" totalsRowDxfId="883">
      <totalsRowFormula>SUBTOTAL(103,Styczeń!$C$7:$C$11)</totalsRowFormula>
    </tableColumn>
    <tableColumn id="3" xr3:uid="{00000000-0010-0000-0000-000003000000}" name="2" totalsRowFunction="custom" dataDxfId="882" totalsRowDxfId="881">
      <totalsRowFormula>SUBTOTAL(103,Styczeń!$D$7:$D$11)</totalsRowFormula>
    </tableColumn>
    <tableColumn id="4" xr3:uid="{00000000-0010-0000-0000-000004000000}" name="3" totalsRowFunction="custom" dataDxfId="880" totalsRowDxfId="879">
      <totalsRowFormula>SUBTOTAL(103,Styczeń!$E$7:$E$11)</totalsRowFormula>
    </tableColumn>
    <tableColumn id="5" xr3:uid="{00000000-0010-0000-0000-000005000000}" name="4" totalsRowFunction="custom" dataDxfId="878" totalsRowDxfId="877">
      <totalsRowFormula>SUBTOTAL(103,Styczeń!$F$7:$F$11)</totalsRowFormula>
    </tableColumn>
    <tableColumn id="6" xr3:uid="{00000000-0010-0000-0000-000006000000}" name="5" totalsRowFunction="custom" totalsRowDxfId="876">
      <totalsRowFormula>SUBTOTAL(103,Styczeń!$G$7:$G$11)</totalsRowFormula>
    </tableColumn>
    <tableColumn id="7" xr3:uid="{00000000-0010-0000-0000-000007000000}" name="6" totalsRowFunction="custom" dataDxfId="875" totalsRowDxfId="874">
      <totalsRowFormula>SUBTOTAL(103,Styczeń!$H$7:$H$11)</totalsRowFormula>
    </tableColumn>
    <tableColumn id="8" xr3:uid="{00000000-0010-0000-0000-000008000000}" name="7" totalsRowFunction="custom" dataDxfId="873" totalsRowDxfId="872">
      <totalsRowFormula>SUBTOTAL(103,Styczeń!$I$7:$I$11)</totalsRowFormula>
    </tableColumn>
    <tableColumn id="9" xr3:uid="{00000000-0010-0000-0000-000009000000}" name="8" totalsRowFunction="custom" dataDxfId="871" totalsRowDxfId="870">
      <totalsRowFormula>SUBTOTAL(103,Styczeń!$J$7:$J$11)</totalsRowFormula>
    </tableColumn>
    <tableColumn id="10" xr3:uid="{00000000-0010-0000-0000-00000A000000}" name="9" totalsRowFunction="custom" dataDxfId="869" totalsRowDxfId="868">
      <totalsRowFormula>SUBTOTAL(103,Styczeń!$K$7:$K$11)</totalsRowFormula>
    </tableColumn>
    <tableColumn id="11" xr3:uid="{00000000-0010-0000-0000-00000B000000}" name="10" totalsRowFunction="custom" dataDxfId="867" totalsRowDxfId="866">
      <totalsRowFormula>SUBTOTAL(103,Styczeń!$L$7:$L$11)</totalsRowFormula>
    </tableColumn>
    <tableColumn id="12" xr3:uid="{00000000-0010-0000-0000-00000C000000}" name="11" totalsRowFunction="custom" dataDxfId="865" totalsRowDxfId="864">
      <totalsRowFormula>SUBTOTAL(103,Styczeń!$M$7:$M$11)</totalsRowFormula>
    </tableColumn>
    <tableColumn id="13" xr3:uid="{00000000-0010-0000-0000-00000D000000}" name="12" totalsRowFunction="custom" dataDxfId="863" totalsRowDxfId="862">
      <totalsRowFormula>SUBTOTAL(103,Styczeń!$N$7:$N$11)</totalsRowFormula>
    </tableColumn>
    <tableColumn id="14" xr3:uid="{00000000-0010-0000-0000-00000E000000}" name="13" totalsRowFunction="custom" dataDxfId="861" totalsRowDxfId="860">
      <totalsRowFormula>SUBTOTAL(103,Styczeń!$O$7:$O$11)</totalsRowFormula>
    </tableColumn>
    <tableColumn id="15" xr3:uid="{00000000-0010-0000-0000-00000F000000}" name="14" totalsRowFunction="custom" dataDxfId="859" totalsRowDxfId="858">
      <totalsRowFormula>SUBTOTAL(103,Styczeń!$P$7:$P$11)</totalsRowFormula>
    </tableColumn>
    <tableColumn id="16" xr3:uid="{00000000-0010-0000-0000-000010000000}" name="15" totalsRowFunction="custom" dataDxfId="857" totalsRowDxfId="856">
      <totalsRowFormula>SUBTOTAL(103,Styczeń!$Q$7:$Q$11)</totalsRowFormula>
    </tableColumn>
    <tableColumn id="17" xr3:uid="{00000000-0010-0000-0000-000011000000}" name="16" totalsRowFunction="custom" dataDxfId="855" totalsRowDxfId="854">
      <totalsRowFormula>SUBTOTAL(103,Styczeń!$R$7:$R$11)</totalsRowFormula>
    </tableColumn>
    <tableColumn id="18" xr3:uid="{00000000-0010-0000-0000-000012000000}" name="17" totalsRowFunction="custom" dataDxfId="853" totalsRowDxfId="852">
      <totalsRowFormula>SUBTOTAL(103,Styczeń!$S$7:$S$11)</totalsRowFormula>
    </tableColumn>
    <tableColumn id="19" xr3:uid="{00000000-0010-0000-0000-000013000000}" name="18" totalsRowFunction="custom" dataDxfId="851" totalsRowDxfId="850">
      <totalsRowFormula>SUBTOTAL(103,Styczeń!$T$7:$T$11)</totalsRowFormula>
    </tableColumn>
    <tableColumn id="20" xr3:uid="{00000000-0010-0000-0000-000014000000}" name="19" totalsRowFunction="custom" dataDxfId="849" totalsRowDxfId="848">
      <totalsRowFormula>SUBTOTAL(103,Styczeń!$U$7:$U$11)</totalsRowFormula>
    </tableColumn>
    <tableColumn id="21" xr3:uid="{00000000-0010-0000-0000-000015000000}" name="20" totalsRowFunction="custom" dataDxfId="847" totalsRowDxfId="846">
      <totalsRowFormula>SUBTOTAL(103,Styczeń!$V$7:$V$11)</totalsRowFormula>
    </tableColumn>
    <tableColumn id="22" xr3:uid="{00000000-0010-0000-0000-000016000000}" name="21" totalsRowFunction="custom" dataDxfId="845" totalsRowDxfId="844">
      <totalsRowFormula>SUBTOTAL(103,Styczeń!$W$7:$W$11)</totalsRowFormula>
    </tableColumn>
    <tableColumn id="23" xr3:uid="{00000000-0010-0000-0000-000017000000}" name="22" totalsRowFunction="custom" dataDxfId="843" totalsRowDxfId="842">
      <totalsRowFormula>SUBTOTAL(103,Styczeń!$X$7:$X$11)</totalsRowFormula>
    </tableColumn>
    <tableColumn id="24" xr3:uid="{00000000-0010-0000-0000-000018000000}" name="23" totalsRowFunction="custom" dataDxfId="841" totalsRowDxfId="840">
      <totalsRowFormula>SUBTOTAL(103,Styczeń!$Y$7:$Y$11)</totalsRowFormula>
    </tableColumn>
    <tableColumn id="25" xr3:uid="{00000000-0010-0000-0000-000019000000}" name="24" totalsRowFunction="custom" dataDxfId="839" totalsRowDxfId="838">
      <totalsRowFormula>SUBTOTAL(103,Styczeń!$Z$7:$Z$11)</totalsRowFormula>
    </tableColumn>
    <tableColumn id="26" xr3:uid="{00000000-0010-0000-0000-00001A000000}" name="25" totalsRowFunction="custom" dataDxfId="837" totalsRowDxfId="836">
      <totalsRowFormula>SUBTOTAL(103,Styczeń!$AA$7:$AA$11)</totalsRowFormula>
    </tableColumn>
    <tableColumn id="27" xr3:uid="{00000000-0010-0000-0000-00001B000000}" name="26" totalsRowFunction="custom" dataDxfId="835" totalsRowDxfId="834">
      <totalsRowFormula>SUBTOTAL(103,Styczeń!$AB$7:$AB$11)</totalsRowFormula>
    </tableColumn>
    <tableColumn id="28" xr3:uid="{00000000-0010-0000-0000-00001C000000}" name="27" totalsRowFunction="custom" dataDxfId="833" totalsRowDxfId="832">
      <totalsRowFormula>SUBTOTAL(103,Styczeń!$AC$7:$AC$11)</totalsRowFormula>
    </tableColumn>
    <tableColumn id="29" xr3:uid="{00000000-0010-0000-0000-00001D000000}" name="28" totalsRowFunction="custom" dataDxfId="831" totalsRowDxfId="830">
      <totalsRowFormula>SUBTOTAL(103,Styczeń!$AD$7:$AD$11)</totalsRowFormula>
    </tableColumn>
    <tableColumn id="30" xr3:uid="{00000000-0010-0000-0000-00001E000000}" name="29" totalsRowFunction="custom" dataDxfId="829" totalsRowDxfId="828">
      <totalsRowFormula>SUBTOTAL(103,Styczeń!$AE$7:$AE$11)</totalsRowFormula>
    </tableColumn>
    <tableColumn id="31" xr3:uid="{00000000-0010-0000-0000-00001F000000}" name="30" totalsRowFunction="custom" dataDxfId="827" totalsRowDxfId="826">
      <totalsRowFormula>SUBTOTAL(103,Styczeń!$AF$7:$AF$11)</totalsRowFormula>
    </tableColumn>
    <tableColumn id="32" xr3:uid="{00000000-0010-0000-0000-000020000000}" name="31" totalsRowFunction="custom" dataDxfId="825" totalsRowDxfId="824">
      <totalsRowFormula>SUBTOTAL(103,Styczeń!$AG$7:$AG$11)</totalsRowFormula>
    </tableColumn>
    <tableColumn id="33" xr3:uid="{00000000-0010-0000-0000-000021000000}" name="Łączna liczba dni" totalsRowFunction="sum" dataDxfId="823" totalsRowDxfId="822">
      <calculatedColumnFormula>COUNTA(Styczeń!$C7:$AG7)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Październik" displayName="Październik" ref="B6:AH12" totalsRowCount="1" headerRowDxfId="269" dataDxfId="268" totalsRowDxfId="267">
  <tableColumns count="33">
    <tableColumn id="1" xr3:uid="{00000000-0010-0000-0900-000001000000}" name="Typ prac" totalsRowFunction="custom" dataDxfId="266" totalsRowDxfId="265" dataCellStyle="Pracownik">
      <totalsRowFormula>"Suma z "&amp;Nazwa_miesiąca</totalsRowFormula>
    </tableColumn>
    <tableColumn id="2" xr3:uid="{00000000-0010-0000-0900-000002000000}" name="1" totalsRowFunction="count" dataDxfId="264" totalsRowDxfId="263"/>
    <tableColumn id="3" xr3:uid="{00000000-0010-0000-0900-000003000000}" name="2" totalsRowFunction="count" dataDxfId="262" totalsRowDxfId="261"/>
    <tableColumn id="4" xr3:uid="{00000000-0010-0000-0900-000004000000}" name="3" totalsRowFunction="count" dataDxfId="260" totalsRowDxfId="259"/>
    <tableColumn id="5" xr3:uid="{00000000-0010-0000-0900-000005000000}" name="4" totalsRowFunction="count" dataDxfId="258" totalsRowDxfId="257"/>
    <tableColumn id="6" xr3:uid="{00000000-0010-0000-0900-000006000000}" name="5" totalsRowFunction="count" dataDxfId="256" totalsRowDxfId="255"/>
    <tableColumn id="7" xr3:uid="{00000000-0010-0000-0900-000007000000}" name="6" totalsRowFunction="count" dataDxfId="254" totalsRowDxfId="253"/>
    <tableColumn id="8" xr3:uid="{00000000-0010-0000-0900-000008000000}" name="7" totalsRowFunction="count" dataDxfId="252" totalsRowDxfId="251"/>
    <tableColumn id="9" xr3:uid="{00000000-0010-0000-0900-000009000000}" name="8" totalsRowFunction="count" dataDxfId="250" totalsRowDxfId="249"/>
    <tableColumn id="10" xr3:uid="{00000000-0010-0000-0900-00000A000000}" name="9" totalsRowFunction="count" dataDxfId="248" totalsRowDxfId="247"/>
    <tableColumn id="11" xr3:uid="{00000000-0010-0000-0900-00000B000000}" name="10" totalsRowFunction="count" dataDxfId="246" totalsRowDxfId="245"/>
    <tableColumn id="12" xr3:uid="{00000000-0010-0000-0900-00000C000000}" name="11" totalsRowFunction="count" dataDxfId="244" totalsRowDxfId="243"/>
    <tableColumn id="13" xr3:uid="{00000000-0010-0000-0900-00000D000000}" name="12" totalsRowFunction="count" dataDxfId="242" totalsRowDxfId="241"/>
    <tableColumn id="14" xr3:uid="{00000000-0010-0000-0900-00000E000000}" name="13" totalsRowFunction="count" dataDxfId="240" totalsRowDxfId="239"/>
    <tableColumn id="15" xr3:uid="{00000000-0010-0000-0900-00000F000000}" name="14" totalsRowFunction="count" dataDxfId="238" totalsRowDxfId="237"/>
    <tableColumn id="16" xr3:uid="{00000000-0010-0000-0900-000010000000}" name="15" totalsRowFunction="count" dataDxfId="236" totalsRowDxfId="235"/>
    <tableColumn id="17" xr3:uid="{00000000-0010-0000-0900-000011000000}" name="16" totalsRowFunction="count" dataDxfId="234" totalsRowDxfId="233"/>
    <tableColumn id="18" xr3:uid="{00000000-0010-0000-0900-000012000000}" name="17" totalsRowFunction="count" dataDxfId="232" totalsRowDxfId="231"/>
    <tableColumn id="19" xr3:uid="{00000000-0010-0000-0900-000013000000}" name="18" totalsRowFunction="count" dataDxfId="230" totalsRowDxfId="229"/>
    <tableColumn id="20" xr3:uid="{00000000-0010-0000-0900-000014000000}" name="19" totalsRowFunction="count" dataDxfId="228" totalsRowDxfId="227"/>
    <tableColumn id="21" xr3:uid="{00000000-0010-0000-0900-000015000000}" name="20" totalsRowFunction="count" dataDxfId="226" totalsRowDxfId="225"/>
    <tableColumn id="22" xr3:uid="{00000000-0010-0000-0900-000016000000}" name="21" totalsRowFunction="count" dataDxfId="224" totalsRowDxfId="223"/>
    <tableColumn id="23" xr3:uid="{00000000-0010-0000-0900-000017000000}" name="22" totalsRowFunction="count" dataDxfId="222" totalsRowDxfId="221"/>
    <tableColumn id="24" xr3:uid="{00000000-0010-0000-0900-000018000000}" name="23" totalsRowFunction="count" dataDxfId="220" totalsRowDxfId="219"/>
    <tableColumn id="25" xr3:uid="{00000000-0010-0000-0900-000019000000}" name="24" totalsRowFunction="count" dataDxfId="218" totalsRowDxfId="217"/>
    <tableColumn id="26" xr3:uid="{00000000-0010-0000-0900-00001A000000}" name="25" totalsRowFunction="count" dataDxfId="216" totalsRowDxfId="215"/>
    <tableColumn id="27" xr3:uid="{00000000-0010-0000-0900-00001B000000}" name="26" totalsRowFunction="count" dataDxfId="214" totalsRowDxfId="213"/>
    <tableColumn id="28" xr3:uid="{00000000-0010-0000-0900-00001C000000}" name="27" totalsRowFunction="count" dataDxfId="212" totalsRowDxfId="211"/>
    <tableColumn id="29" xr3:uid="{00000000-0010-0000-0900-00001D000000}" name="28" totalsRowFunction="count" dataDxfId="210" totalsRowDxfId="209"/>
    <tableColumn id="30" xr3:uid="{00000000-0010-0000-0900-00001E000000}" name="29" totalsRowFunction="count" dataDxfId="208" totalsRowDxfId="207"/>
    <tableColumn id="31" xr3:uid="{00000000-0010-0000-0900-00001F000000}" name="30" totalsRowFunction="count" dataDxfId="206" totalsRowDxfId="205"/>
    <tableColumn id="32" xr3:uid="{00000000-0010-0000-0900-000020000000}" name="31" totalsRowFunction="count" dataDxfId="204" totalsRowDxfId="203"/>
    <tableColumn id="33" xr3:uid="{00000000-0010-0000-0900-000021000000}" name="Łączna liczba dni" totalsRowFunction="sum" dataDxfId="202" totalsRowDxfId="201">
      <calculatedColumnFormula>COUNTA(Październik[[#This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Listopad" displayName="Listopad" ref="B6:AH12" totalsRowCount="1" headerRowDxfId="200" dataDxfId="199" totalsRowDxfId="198">
  <tableColumns count="33">
    <tableColumn id="1" xr3:uid="{00000000-0010-0000-0A00-000001000000}" name="Typ prac" totalsRowFunction="custom" dataDxfId="197" totalsRowDxfId="196" dataCellStyle="Pracownik">
      <totalsRowFormula>"Suma z "&amp;Nazwa_miesiąca</totalsRowFormula>
    </tableColumn>
    <tableColumn id="2" xr3:uid="{00000000-0010-0000-0A00-000002000000}" name="1" totalsRowFunction="count" dataDxfId="195" totalsRowDxfId="194"/>
    <tableColumn id="3" xr3:uid="{00000000-0010-0000-0A00-000003000000}" name="2" totalsRowFunction="count" dataDxfId="193" totalsRowDxfId="192"/>
    <tableColumn id="4" xr3:uid="{00000000-0010-0000-0A00-000004000000}" name="3" totalsRowFunction="count" dataDxfId="191" totalsRowDxfId="190"/>
    <tableColumn id="5" xr3:uid="{00000000-0010-0000-0A00-000005000000}" name="4" totalsRowFunction="count" dataDxfId="189" totalsRowDxfId="188"/>
    <tableColumn id="6" xr3:uid="{00000000-0010-0000-0A00-000006000000}" name="5" totalsRowFunction="count" dataDxfId="187" totalsRowDxfId="186"/>
    <tableColumn id="7" xr3:uid="{00000000-0010-0000-0A00-000007000000}" name="6" totalsRowFunction="count" dataDxfId="185" totalsRowDxfId="184"/>
    <tableColumn id="8" xr3:uid="{00000000-0010-0000-0A00-000008000000}" name="7" totalsRowFunction="count" dataDxfId="183" totalsRowDxfId="182"/>
    <tableColumn id="9" xr3:uid="{00000000-0010-0000-0A00-000009000000}" name="8" totalsRowFunction="count" dataDxfId="181" totalsRowDxfId="180"/>
    <tableColumn id="10" xr3:uid="{00000000-0010-0000-0A00-00000A000000}" name="9" totalsRowFunction="count" dataDxfId="179" totalsRowDxfId="178"/>
    <tableColumn id="11" xr3:uid="{00000000-0010-0000-0A00-00000B000000}" name="10" totalsRowFunction="count" dataDxfId="177" totalsRowDxfId="176"/>
    <tableColumn id="12" xr3:uid="{00000000-0010-0000-0A00-00000C000000}" name="11" totalsRowFunction="count" dataDxfId="175" totalsRowDxfId="174"/>
    <tableColumn id="13" xr3:uid="{00000000-0010-0000-0A00-00000D000000}" name="12" totalsRowFunction="count" dataDxfId="173" totalsRowDxfId="172"/>
    <tableColumn id="14" xr3:uid="{00000000-0010-0000-0A00-00000E000000}" name="13" totalsRowFunction="count" dataDxfId="171" totalsRowDxfId="170"/>
    <tableColumn id="15" xr3:uid="{00000000-0010-0000-0A00-00000F000000}" name="14" totalsRowFunction="count" dataDxfId="169" totalsRowDxfId="168"/>
    <tableColumn id="16" xr3:uid="{00000000-0010-0000-0A00-000010000000}" name="15" totalsRowFunction="count" dataDxfId="167" totalsRowDxfId="166"/>
    <tableColumn id="17" xr3:uid="{00000000-0010-0000-0A00-000011000000}" name="16" totalsRowFunction="count" dataDxfId="165" totalsRowDxfId="164"/>
    <tableColumn id="18" xr3:uid="{00000000-0010-0000-0A00-000012000000}" name="17" totalsRowFunction="count" dataDxfId="163" totalsRowDxfId="162"/>
    <tableColumn id="19" xr3:uid="{00000000-0010-0000-0A00-000013000000}" name="18" totalsRowFunction="count" dataDxfId="161" totalsRowDxfId="160"/>
    <tableColumn id="20" xr3:uid="{00000000-0010-0000-0A00-000014000000}" name="19" totalsRowFunction="count" dataDxfId="159" totalsRowDxfId="158"/>
    <tableColumn id="21" xr3:uid="{00000000-0010-0000-0A00-000015000000}" name="20" totalsRowFunction="count" dataDxfId="157" totalsRowDxfId="156"/>
    <tableColumn id="22" xr3:uid="{00000000-0010-0000-0A00-000016000000}" name="21" totalsRowFunction="count" dataDxfId="155" totalsRowDxfId="154"/>
    <tableColumn id="23" xr3:uid="{00000000-0010-0000-0A00-000017000000}" name="22" totalsRowFunction="count" dataDxfId="153" totalsRowDxfId="152"/>
    <tableColumn id="24" xr3:uid="{00000000-0010-0000-0A00-000018000000}" name="23" totalsRowFunction="count" dataDxfId="151" totalsRowDxfId="150"/>
    <tableColumn id="25" xr3:uid="{00000000-0010-0000-0A00-000019000000}" name="24" totalsRowFunction="count" dataDxfId="149" totalsRowDxfId="148"/>
    <tableColumn id="26" xr3:uid="{00000000-0010-0000-0A00-00001A000000}" name="25" totalsRowFunction="count" dataDxfId="147" totalsRowDxfId="146"/>
    <tableColumn id="27" xr3:uid="{00000000-0010-0000-0A00-00001B000000}" name="26" totalsRowFunction="count" dataDxfId="145" totalsRowDxfId="144"/>
    <tableColumn id="28" xr3:uid="{00000000-0010-0000-0A00-00001C000000}" name="27" totalsRowFunction="count" dataDxfId="143" totalsRowDxfId="142"/>
    <tableColumn id="29" xr3:uid="{00000000-0010-0000-0A00-00001D000000}" name="28" totalsRowFunction="count" dataDxfId="141" totalsRowDxfId="140"/>
    <tableColumn id="30" xr3:uid="{00000000-0010-0000-0A00-00001E000000}" name="29" totalsRowFunction="count" dataDxfId="139" totalsRowDxfId="138"/>
    <tableColumn id="31" xr3:uid="{00000000-0010-0000-0A00-00001F000000}" name="30" totalsRowFunction="count" dataDxfId="137" totalsRowDxfId="136"/>
    <tableColumn id="32" xr3:uid="{00000000-0010-0000-0A00-000020000000}" name=" " totalsRowFunction="count" dataDxfId="135" totalsRowDxfId="134"/>
    <tableColumn id="33" xr3:uid="{00000000-0010-0000-0A00-000021000000}" name="Łączna liczba dni" totalsRowFunction="sum" dataDxfId="133" totalsRowDxfId="132">
      <calculatedColumnFormula>COUNTA(Listopad[[#This Row],[1]:[30]])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Grudzień" displayName="Grudzień" ref="B6:AH12" totalsRowCount="1" headerRowDxfId="131" dataDxfId="130" totalsRowDxfId="129">
  <tableColumns count="33">
    <tableColumn id="1" xr3:uid="{00000000-0010-0000-0B00-000001000000}" name="Typ prac" totalsRowFunction="custom" dataDxfId="128" totalsRowDxfId="127" dataCellStyle="Pracownik">
      <totalsRowFormula>"Suma z "&amp;Nazwa_miesiąca</totalsRowFormula>
    </tableColumn>
    <tableColumn id="2" xr3:uid="{00000000-0010-0000-0B00-000002000000}" name="1" totalsRowFunction="count" dataDxfId="126" totalsRowDxfId="125"/>
    <tableColumn id="3" xr3:uid="{00000000-0010-0000-0B00-000003000000}" name="2" totalsRowFunction="count" dataDxfId="124" totalsRowDxfId="123"/>
    <tableColumn id="4" xr3:uid="{00000000-0010-0000-0B00-000004000000}" name="3" totalsRowFunction="count" dataDxfId="122" totalsRowDxfId="121"/>
    <tableColumn id="5" xr3:uid="{00000000-0010-0000-0B00-000005000000}" name="4" totalsRowFunction="count" dataDxfId="120" totalsRowDxfId="119"/>
    <tableColumn id="6" xr3:uid="{00000000-0010-0000-0B00-000006000000}" name="5" totalsRowFunction="count" dataDxfId="118" totalsRowDxfId="117"/>
    <tableColumn id="7" xr3:uid="{00000000-0010-0000-0B00-000007000000}" name="6" totalsRowFunction="count" dataDxfId="116" totalsRowDxfId="115"/>
    <tableColumn id="8" xr3:uid="{00000000-0010-0000-0B00-000008000000}" name="7" totalsRowFunction="count" dataDxfId="114" totalsRowDxfId="113"/>
    <tableColumn id="9" xr3:uid="{00000000-0010-0000-0B00-000009000000}" name="8" totalsRowFunction="count" dataDxfId="112" totalsRowDxfId="111"/>
    <tableColumn id="10" xr3:uid="{00000000-0010-0000-0B00-00000A000000}" name="9" totalsRowFunction="count" dataDxfId="110" totalsRowDxfId="109"/>
    <tableColumn id="11" xr3:uid="{00000000-0010-0000-0B00-00000B000000}" name="10" totalsRowFunction="count" dataDxfId="108" totalsRowDxfId="107"/>
    <tableColumn id="12" xr3:uid="{00000000-0010-0000-0B00-00000C000000}" name="11" totalsRowFunction="count" dataDxfId="106" totalsRowDxfId="105"/>
    <tableColumn id="13" xr3:uid="{00000000-0010-0000-0B00-00000D000000}" name="12" totalsRowFunction="count" dataDxfId="104" totalsRowDxfId="103"/>
    <tableColumn id="14" xr3:uid="{00000000-0010-0000-0B00-00000E000000}" name="13" totalsRowFunction="count" dataDxfId="102" totalsRowDxfId="101"/>
    <tableColumn id="15" xr3:uid="{00000000-0010-0000-0B00-00000F000000}" name="14" totalsRowFunction="count" dataDxfId="100" totalsRowDxfId="99"/>
    <tableColumn id="16" xr3:uid="{00000000-0010-0000-0B00-000010000000}" name="15" totalsRowFunction="count" dataDxfId="98" totalsRowDxfId="97"/>
    <tableColumn id="17" xr3:uid="{00000000-0010-0000-0B00-000011000000}" name="16" totalsRowFunction="count" dataDxfId="96" totalsRowDxfId="95"/>
    <tableColumn id="18" xr3:uid="{00000000-0010-0000-0B00-000012000000}" name="17" totalsRowFunction="count" dataDxfId="94" totalsRowDxfId="93"/>
    <tableColumn id="19" xr3:uid="{00000000-0010-0000-0B00-000013000000}" name="18" totalsRowFunction="count" dataDxfId="92" totalsRowDxfId="91"/>
    <tableColumn id="20" xr3:uid="{00000000-0010-0000-0B00-000014000000}" name="19" totalsRowFunction="count" dataDxfId="90" totalsRowDxfId="89"/>
    <tableColumn id="21" xr3:uid="{00000000-0010-0000-0B00-000015000000}" name="20" totalsRowFunction="count" dataDxfId="88" totalsRowDxfId="87"/>
    <tableColumn id="22" xr3:uid="{00000000-0010-0000-0B00-000016000000}" name="21" totalsRowFunction="count" dataDxfId="86" totalsRowDxfId="85"/>
    <tableColumn id="23" xr3:uid="{00000000-0010-0000-0B00-000017000000}" name="22" totalsRowFunction="count" dataDxfId="84" totalsRowDxfId="83"/>
    <tableColumn id="24" xr3:uid="{00000000-0010-0000-0B00-000018000000}" name="23" totalsRowFunction="count" dataDxfId="82" totalsRowDxfId="81"/>
    <tableColumn id="25" xr3:uid="{00000000-0010-0000-0B00-000019000000}" name="24" totalsRowFunction="count" dataDxfId="80" totalsRowDxfId="79"/>
    <tableColumn id="26" xr3:uid="{00000000-0010-0000-0B00-00001A000000}" name="25" totalsRowFunction="count" dataDxfId="78" totalsRowDxfId="77"/>
    <tableColumn id="27" xr3:uid="{00000000-0010-0000-0B00-00001B000000}" name="26" totalsRowFunction="count" dataDxfId="76" totalsRowDxfId="75"/>
    <tableColumn id="28" xr3:uid="{00000000-0010-0000-0B00-00001C000000}" name="27" totalsRowFunction="count" dataDxfId="74" totalsRowDxfId="73"/>
    <tableColumn id="29" xr3:uid="{00000000-0010-0000-0B00-00001D000000}" name="28" totalsRowFunction="count" dataDxfId="72" totalsRowDxfId="71"/>
    <tableColumn id="30" xr3:uid="{00000000-0010-0000-0B00-00001E000000}" name="29" totalsRowFunction="count" dataDxfId="70" totalsRowDxfId="69"/>
    <tableColumn id="31" xr3:uid="{00000000-0010-0000-0B00-00001F000000}" name="30" totalsRowFunction="count" dataDxfId="68" totalsRowDxfId="67"/>
    <tableColumn id="32" xr3:uid="{00000000-0010-0000-0B00-000020000000}" name="31" totalsRowFunction="count" dataDxfId="66" totalsRowDxfId="65"/>
    <tableColumn id="33" xr3:uid="{00000000-0010-0000-0B00-000021000000}" name="Łączna liczba dni" totalsRowFunction="sum" dataDxfId="64" totalsRowDxfId="63">
      <calculatedColumnFormula>COUNTA(Grudzień[[#This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Zawiera listę nazwisk i dat kalendarzowych w celu rejestrowania nieobecności pracowników oraz określonych typów nieobecności, takich jak U=Urlop, Z=Zwolnienie lekarskie, O=powód Osobisty, oraz dwa symbole zastępcze na potrzeby wpisów niestandardowych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Imię_i_nazwisko_pracownika" displayName="Imię_i_nazwisko_pracownika" ref="B3:B14" totalsRowShown="0" headerRowDxfId="62">
  <tableColumns count="1">
    <tableColumn id="1" xr3:uid="{00000000-0010-0000-0C00-000001000000}" name="Typ prac" dataCellStyle="Pracownik"/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W tej tabeli wprowadź nazwiska pracowników. Te nazwiska są używane jako opcje w kolumnie B harmonogramu nieobecności każdego miesiąc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uty" displayName="Luty" ref="B6:AH12" totalsRowCount="1" headerRowDxfId="821" dataDxfId="820" totalsRowDxfId="819">
  <tableColumns count="33">
    <tableColumn id="1" xr3:uid="{00000000-0010-0000-0100-000001000000}" name="Typ prac" totalsRowFunction="custom" dataDxfId="818" totalsRowDxfId="817" dataCellStyle="Pracownik">
      <totalsRowFormula>"Suma z "&amp;Nazwa_miesiąca</totalsRowFormula>
    </tableColumn>
    <tableColumn id="2" xr3:uid="{00000000-0010-0000-0100-000002000000}" name="1" totalsRowFunction="count" dataDxfId="816" totalsRowDxfId="815"/>
    <tableColumn id="3" xr3:uid="{00000000-0010-0000-0100-000003000000}" name="2" totalsRowFunction="count" dataDxfId="814" totalsRowDxfId="813"/>
    <tableColumn id="4" xr3:uid="{00000000-0010-0000-0100-000004000000}" name="3" totalsRowFunction="count" dataDxfId="812" totalsRowDxfId="811"/>
    <tableColumn id="5" xr3:uid="{00000000-0010-0000-0100-000005000000}" name="4" totalsRowFunction="count" dataDxfId="810" totalsRowDxfId="809"/>
    <tableColumn id="6" xr3:uid="{00000000-0010-0000-0100-000006000000}" name="5" totalsRowFunction="count" dataDxfId="808" totalsRowDxfId="807"/>
    <tableColumn id="7" xr3:uid="{00000000-0010-0000-0100-000007000000}" name="6" totalsRowFunction="count" dataDxfId="806" totalsRowDxfId="805"/>
    <tableColumn id="8" xr3:uid="{00000000-0010-0000-0100-000008000000}" name="7" totalsRowFunction="count" dataDxfId="804" totalsRowDxfId="803"/>
    <tableColumn id="9" xr3:uid="{00000000-0010-0000-0100-000009000000}" name="8" totalsRowFunction="count" dataDxfId="802" totalsRowDxfId="801"/>
    <tableColumn id="10" xr3:uid="{00000000-0010-0000-0100-00000A000000}" name="9" totalsRowFunction="count" dataDxfId="800" totalsRowDxfId="799"/>
    <tableColumn id="11" xr3:uid="{00000000-0010-0000-0100-00000B000000}" name="10" totalsRowFunction="count" dataDxfId="798" totalsRowDxfId="797"/>
    <tableColumn id="12" xr3:uid="{00000000-0010-0000-0100-00000C000000}" name="11" totalsRowFunction="count" dataDxfId="796" totalsRowDxfId="795"/>
    <tableColumn id="13" xr3:uid="{00000000-0010-0000-0100-00000D000000}" name="12" totalsRowFunction="count" dataDxfId="794" totalsRowDxfId="793"/>
    <tableColumn id="14" xr3:uid="{00000000-0010-0000-0100-00000E000000}" name="13" totalsRowFunction="count" dataDxfId="792" totalsRowDxfId="791"/>
    <tableColumn id="15" xr3:uid="{00000000-0010-0000-0100-00000F000000}" name="14" totalsRowFunction="count" dataDxfId="790" totalsRowDxfId="789"/>
    <tableColumn id="16" xr3:uid="{00000000-0010-0000-0100-000010000000}" name="15" totalsRowFunction="count" dataDxfId="788" totalsRowDxfId="787"/>
    <tableColumn id="17" xr3:uid="{00000000-0010-0000-0100-000011000000}" name="16" totalsRowFunction="count" dataDxfId="786" totalsRowDxfId="785"/>
    <tableColumn id="18" xr3:uid="{00000000-0010-0000-0100-000012000000}" name="17" totalsRowFunction="count" dataDxfId="784" totalsRowDxfId="783"/>
    <tableColumn id="19" xr3:uid="{00000000-0010-0000-0100-000013000000}" name="18" totalsRowFunction="count" dataDxfId="782" totalsRowDxfId="781"/>
    <tableColumn id="20" xr3:uid="{00000000-0010-0000-0100-000014000000}" name="19" totalsRowFunction="count" dataDxfId="780" totalsRowDxfId="779"/>
    <tableColumn id="21" xr3:uid="{00000000-0010-0000-0100-000015000000}" name="20" totalsRowFunction="count" dataDxfId="778" totalsRowDxfId="777"/>
    <tableColumn id="22" xr3:uid="{00000000-0010-0000-0100-000016000000}" name="21" totalsRowFunction="count" dataDxfId="776" totalsRowDxfId="775"/>
    <tableColumn id="23" xr3:uid="{00000000-0010-0000-0100-000017000000}" name="22" totalsRowFunction="count" dataDxfId="774" totalsRowDxfId="773"/>
    <tableColumn id="24" xr3:uid="{00000000-0010-0000-0100-000018000000}" name="23" totalsRowFunction="count" dataDxfId="772" totalsRowDxfId="771"/>
    <tableColumn id="25" xr3:uid="{00000000-0010-0000-0100-000019000000}" name="24" totalsRowFunction="count" dataDxfId="770" totalsRowDxfId="769"/>
    <tableColumn id="26" xr3:uid="{00000000-0010-0000-0100-00001A000000}" name="25" totalsRowFunction="count" dataDxfId="768" totalsRowDxfId="767"/>
    <tableColumn id="27" xr3:uid="{00000000-0010-0000-0100-00001B000000}" name="26" totalsRowFunction="count" dataDxfId="766" totalsRowDxfId="765"/>
    <tableColumn id="28" xr3:uid="{00000000-0010-0000-0100-00001C000000}" name="27" totalsRowFunction="count" dataDxfId="764" totalsRowDxfId="763"/>
    <tableColumn id="29" xr3:uid="{00000000-0010-0000-0100-00001D000000}" name="28" totalsRowFunction="count" dataDxfId="762" totalsRowDxfId="761"/>
    <tableColumn id="30" xr3:uid="{00000000-0010-0000-0100-00001E000000}" name="29" totalsRowFunction="count" dataDxfId="760" totalsRowDxfId="759"/>
    <tableColumn id="31" xr3:uid="{00000000-0010-0000-0100-00001F000000}" name=" " dataDxfId="758" totalsRowDxfId="757"/>
    <tableColumn id="32" xr3:uid="{00000000-0010-0000-0100-000020000000}" name="  " dataDxfId="756" totalsRowDxfId="755"/>
    <tableColumn id="33" xr3:uid="{00000000-0010-0000-0100-000021000000}" name="Łączna liczba dni" totalsRowFunction="sum" dataDxfId="754" totalsRowDxfId="753">
      <calculatedColumnFormula>COUNTA(Luty[[#This Row],[1]:[29]])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zec" displayName="Marzec" ref="B6:AH12" totalsRowCount="1" headerRowDxfId="752" dataDxfId="751" totalsRowDxfId="750">
  <tableColumns count="33">
    <tableColumn id="1" xr3:uid="{00000000-0010-0000-0200-000001000000}" name="Typ prac" totalsRowFunction="custom" dataDxfId="749" totalsRowDxfId="748" dataCellStyle="Pracownik">
      <totalsRowFormula>"Suma z "&amp;Nazwa_miesiąca</totalsRowFormula>
    </tableColumn>
    <tableColumn id="2" xr3:uid="{00000000-0010-0000-0200-000002000000}" name="1" totalsRowFunction="count" dataDxfId="747" totalsRowDxfId="746"/>
    <tableColumn id="3" xr3:uid="{00000000-0010-0000-0200-000003000000}" name="2" totalsRowFunction="count" dataDxfId="745" totalsRowDxfId="744"/>
    <tableColumn id="4" xr3:uid="{00000000-0010-0000-0200-000004000000}" name="3" totalsRowFunction="count" dataDxfId="743" totalsRowDxfId="742"/>
    <tableColumn id="5" xr3:uid="{00000000-0010-0000-0200-000005000000}" name="4" totalsRowFunction="count" dataDxfId="741" totalsRowDxfId="740"/>
    <tableColumn id="6" xr3:uid="{00000000-0010-0000-0200-000006000000}" name="5" totalsRowFunction="count" dataDxfId="739" totalsRowDxfId="738"/>
    <tableColumn id="7" xr3:uid="{00000000-0010-0000-0200-000007000000}" name="6" totalsRowFunction="count" dataDxfId="737" totalsRowDxfId="736"/>
    <tableColumn id="8" xr3:uid="{00000000-0010-0000-0200-000008000000}" name="7" totalsRowFunction="count" dataDxfId="735" totalsRowDxfId="734"/>
    <tableColumn id="9" xr3:uid="{00000000-0010-0000-0200-000009000000}" name="8" totalsRowFunction="count" dataDxfId="733" totalsRowDxfId="732"/>
    <tableColumn id="10" xr3:uid="{00000000-0010-0000-0200-00000A000000}" name="9" totalsRowFunction="count" dataDxfId="731" totalsRowDxfId="730"/>
    <tableColumn id="11" xr3:uid="{00000000-0010-0000-0200-00000B000000}" name="10" totalsRowFunction="count" dataDxfId="729" totalsRowDxfId="728"/>
    <tableColumn id="12" xr3:uid="{00000000-0010-0000-0200-00000C000000}" name="11" totalsRowFunction="count" dataDxfId="727" totalsRowDxfId="726"/>
    <tableColumn id="13" xr3:uid="{00000000-0010-0000-0200-00000D000000}" name="12" totalsRowFunction="count" dataDxfId="725" totalsRowDxfId="724"/>
    <tableColumn id="14" xr3:uid="{00000000-0010-0000-0200-00000E000000}" name="13" totalsRowFunction="count" dataDxfId="723" totalsRowDxfId="722"/>
    <tableColumn id="15" xr3:uid="{00000000-0010-0000-0200-00000F000000}" name="14" totalsRowFunction="count" dataDxfId="721" totalsRowDxfId="720"/>
    <tableColumn id="16" xr3:uid="{00000000-0010-0000-0200-000010000000}" name="15" totalsRowFunction="count" dataDxfId="719" totalsRowDxfId="718"/>
    <tableColumn id="17" xr3:uid="{00000000-0010-0000-0200-000011000000}" name="16" totalsRowFunction="count" dataDxfId="717" totalsRowDxfId="716"/>
    <tableColumn id="18" xr3:uid="{00000000-0010-0000-0200-000012000000}" name="17" totalsRowFunction="count" dataDxfId="715" totalsRowDxfId="714"/>
    <tableColumn id="19" xr3:uid="{00000000-0010-0000-0200-000013000000}" name="18" totalsRowFunction="count" dataDxfId="713" totalsRowDxfId="712"/>
    <tableColumn id="20" xr3:uid="{00000000-0010-0000-0200-000014000000}" name="19" totalsRowFunction="count" dataDxfId="711" totalsRowDxfId="710"/>
    <tableColumn id="21" xr3:uid="{00000000-0010-0000-0200-000015000000}" name="20" totalsRowFunction="count" dataDxfId="709" totalsRowDxfId="708"/>
    <tableColumn id="22" xr3:uid="{00000000-0010-0000-0200-000016000000}" name="21" totalsRowFunction="count" dataDxfId="707" totalsRowDxfId="706"/>
    <tableColumn id="23" xr3:uid="{00000000-0010-0000-0200-000017000000}" name="22" totalsRowFunction="count" dataDxfId="705" totalsRowDxfId="704"/>
    <tableColumn id="24" xr3:uid="{00000000-0010-0000-0200-000018000000}" name="23" totalsRowFunction="count" dataDxfId="703" totalsRowDxfId="702"/>
    <tableColumn id="25" xr3:uid="{00000000-0010-0000-0200-000019000000}" name="24" totalsRowFunction="count" dataDxfId="701" totalsRowDxfId="700"/>
    <tableColumn id="26" xr3:uid="{00000000-0010-0000-0200-00001A000000}" name="25" totalsRowFunction="count" dataDxfId="699" totalsRowDxfId="698"/>
    <tableColumn id="27" xr3:uid="{00000000-0010-0000-0200-00001B000000}" name="26" totalsRowFunction="count" dataDxfId="697" totalsRowDxfId="696"/>
    <tableColumn id="28" xr3:uid="{00000000-0010-0000-0200-00001C000000}" name="27" totalsRowFunction="count" dataDxfId="695" totalsRowDxfId="694"/>
    <tableColumn id="29" xr3:uid="{00000000-0010-0000-0200-00001D000000}" name="28" totalsRowFunction="count" dataDxfId="693" totalsRowDxfId="692"/>
    <tableColumn id="30" xr3:uid="{00000000-0010-0000-0200-00001E000000}" name="29" totalsRowFunction="count" dataDxfId="691" totalsRowDxfId="690"/>
    <tableColumn id="31" xr3:uid="{00000000-0010-0000-0200-00001F000000}" name="30" totalsRowFunction="count" dataDxfId="689" totalsRowDxfId="688"/>
    <tableColumn id="32" xr3:uid="{00000000-0010-0000-0200-000020000000}" name="31" totalsRowFunction="count" dataDxfId="687" totalsRowDxfId="686"/>
    <tableColumn id="33" xr3:uid="{00000000-0010-0000-0200-000021000000}" name="Łączna liczba dni" totalsRowFunction="sum" dataDxfId="685" totalsRowDxfId="684">
      <calculatedColumnFormula>COUNTA(Marzec[[#This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Kwiecień" displayName="Kwiecień" ref="B6:AH12" totalsRowCount="1" headerRowDxfId="683" dataDxfId="682" totalsRowDxfId="681">
  <tableColumns count="33">
    <tableColumn id="1" xr3:uid="{00000000-0010-0000-0300-000001000000}" name="Typ prac" totalsRowFunction="custom" dataDxfId="680" totalsRowDxfId="679" dataCellStyle="Pracownik">
      <totalsRowFormula>"Suma z "&amp;Nazwa_miesiąca</totalsRowFormula>
    </tableColumn>
    <tableColumn id="2" xr3:uid="{00000000-0010-0000-0300-000002000000}" name="1" totalsRowFunction="count" dataDxfId="678" totalsRowDxfId="677"/>
    <tableColumn id="3" xr3:uid="{00000000-0010-0000-0300-000003000000}" name="2" totalsRowFunction="count" dataDxfId="676" totalsRowDxfId="675"/>
    <tableColumn id="4" xr3:uid="{00000000-0010-0000-0300-000004000000}" name="3" totalsRowFunction="count" dataDxfId="674" totalsRowDxfId="673"/>
    <tableColumn id="5" xr3:uid="{00000000-0010-0000-0300-000005000000}" name="4" totalsRowFunction="count" dataDxfId="672" totalsRowDxfId="671"/>
    <tableColumn id="6" xr3:uid="{00000000-0010-0000-0300-000006000000}" name="5" totalsRowFunction="count" dataDxfId="670" totalsRowDxfId="669"/>
    <tableColumn id="7" xr3:uid="{00000000-0010-0000-0300-000007000000}" name="6" totalsRowFunction="count" dataDxfId="668" totalsRowDxfId="667"/>
    <tableColumn id="8" xr3:uid="{00000000-0010-0000-0300-000008000000}" name="7" totalsRowFunction="count" dataDxfId="666" totalsRowDxfId="665"/>
    <tableColumn id="9" xr3:uid="{00000000-0010-0000-0300-000009000000}" name="8" totalsRowFunction="count" dataDxfId="664" totalsRowDxfId="663"/>
    <tableColumn id="10" xr3:uid="{00000000-0010-0000-0300-00000A000000}" name="9" totalsRowFunction="count" dataDxfId="662" totalsRowDxfId="661"/>
    <tableColumn id="11" xr3:uid="{00000000-0010-0000-0300-00000B000000}" name="10" totalsRowFunction="count" dataDxfId="660" totalsRowDxfId="659"/>
    <tableColumn id="12" xr3:uid="{00000000-0010-0000-0300-00000C000000}" name="11" totalsRowFunction="count" dataDxfId="658" totalsRowDxfId="657"/>
    <tableColumn id="13" xr3:uid="{00000000-0010-0000-0300-00000D000000}" name="12" totalsRowFunction="count" dataDxfId="656" totalsRowDxfId="655"/>
    <tableColumn id="14" xr3:uid="{00000000-0010-0000-0300-00000E000000}" name="13" totalsRowFunction="count" dataDxfId="654" totalsRowDxfId="653"/>
    <tableColumn id="15" xr3:uid="{00000000-0010-0000-0300-00000F000000}" name="14" totalsRowFunction="count" dataDxfId="652" totalsRowDxfId="651"/>
    <tableColumn id="16" xr3:uid="{00000000-0010-0000-0300-000010000000}" name="15" totalsRowFunction="count" dataDxfId="650" totalsRowDxfId="649"/>
    <tableColumn id="17" xr3:uid="{00000000-0010-0000-0300-000011000000}" name="16" totalsRowFunction="count" dataDxfId="648" totalsRowDxfId="647"/>
    <tableColumn id="18" xr3:uid="{00000000-0010-0000-0300-000012000000}" name="17" totalsRowFunction="count" dataDxfId="646" totalsRowDxfId="645"/>
    <tableColumn id="19" xr3:uid="{00000000-0010-0000-0300-000013000000}" name="18" totalsRowFunction="count" dataDxfId="644" totalsRowDxfId="643"/>
    <tableColumn id="20" xr3:uid="{00000000-0010-0000-0300-000014000000}" name="19" totalsRowFunction="count" dataDxfId="642" totalsRowDxfId="641"/>
    <tableColumn id="21" xr3:uid="{00000000-0010-0000-0300-000015000000}" name="20" totalsRowFunction="count" dataDxfId="640" totalsRowDxfId="639"/>
    <tableColumn id="22" xr3:uid="{00000000-0010-0000-0300-000016000000}" name="21" totalsRowFunction="count" dataDxfId="638" totalsRowDxfId="637"/>
    <tableColumn id="23" xr3:uid="{00000000-0010-0000-0300-000017000000}" name="22" totalsRowFunction="count" dataDxfId="636" totalsRowDxfId="635"/>
    <tableColumn id="24" xr3:uid="{00000000-0010-0000-0300-000018000000}" name="23" totalsRowFunction="count" dataDxfId="634" totalsRowDxfId="633"/>
    <tableColumn id="25" xr3:uid="{00000000-0010-0000-0300-000019000000}" name="24" totalsRowFunction="count" dataDxfId="632" totalsRowDxfId="631"/>
    <tableColumn id="26" xr3:uid="{00000000-0010-0000-0300-00001A000000}" name="25" totalsRowFunction="count" dataDxfId="630" totalsRowDxfId="629"/>
    <tableColumn id="27" xr3:uid="{00000000-0010-0000-0300-00001B000000}" name="26" totalsRowFunction="count" dataDxfId="628" totalsRowDxfId="627"/>
    <tableColumn id="28" xr3:uid="{00000000-0010-0000-0300-00001C000000}" name="27" totalsRowFunction="count" dataDxfId="626" totalsRowDxfId="625"/>
    <tableColumn id="29" xr3:uid="{00000000-0010-0000-0300-00001D000000}" name="28" totalsRowFunction="count" dataDxfId="624" totalsRowDxfId="623"/>
    <tableColumn id="30" xr3:uid="{00000000-0010-0000-0300-00001E000000}" name="29" totalsRowFunction="count" dataDxfId="622" totalsRowDxfId="621"/>
    <tableColumn id="31" xr3:uid="{00000000-0010-0000-0300-00001F000000}" name="30" totalsRowFunction="count" dataDxfId="620" totalsRowDxfId="619"/>
    <tableColumn id="32" xr3:uid="{00000000-0010-0000-0300-000020000000}" name=" " totalsRowFunction="custom" dataDxfId="618" totalsRowDxfId="617">
      <totalsRowFormula>SUBTOTAL(103,Kwiecień[30])</totalsRowFormula>
    </tableColumn>
    <tableColumn id="33" xr3:uid="{00000000-0010-0000-0300-000021000000}" name="Łączna liczba dni" totalsRowFunction="sum" dataDxfId="616" totalsRowDxfId="615">
      <calculatedColumnFormula>COUNTA(Kwiecień[[#This Row],[1]:[30]])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Maj" displayName="Maj" ref="B6:AH12" totalsRowCount="1" headerRowDxfId="614" dataDxfId="613" totalsRowDxfId="612">
  <tableColumns count="33">
    <tableColumn id="1" xr3:uid="{00000000-0010-0000-0400-000001000000}" name="Typ prac" totalsRowFunction="custom" dataDxfId="611" totalsRowDxfId="610" dataCellStyle="Pracownik">
      <totalsRowFormula>"Suma z "&amp;Nazwa_miesiąca</totalsRowFormula>
    </tableColumn>
    <tableColumn id="2" xr3:uid="{00000000-0010-0000-0400-000002000000}" name="1" totalsRowFunction="count" dataDxfId="609" totalsRowDxfId="608"/>
    <tableColumn id="3" xr3:uid="{00000000-0010-0000-0400-000003000000}" name="2" totalsRowFunction="count" dataDxfId="607" totalsRowDxfId="606"/>
    <tableColumn id="4" xr3:uid="{00000000-0010-0000-0400-000004000000}" name="3" totalsRowFunction="count" dataDxfId="605" totalsRowDxfId="604"/>
    <tableColumn id="5" xr3:uid="{00000000-0010-0000-0400-000005000000}" name="4" totalsRowFunction="count" dataDxfId="603" totalsRowDxfId="602"/>
    <tableColumn id="6" xr3:uid="{00000000-0010-0000-0400-000006000000}" name="5" totalsRowFunction="count" dataDxfId="601" totalsRowDxfId="600"/>
    <tableColumn id="7" xr3:uid="{00000000-0010-0000-0400-000007000000}" name="6" totalsRowFunction="count" dataDxfId="599" totalsRowDxfId="598"/>
    <tableColumn id="8" xr3:uid="{00000000-0010-0000-0400-000008000000}" name="7" totalsRowFunction="count" dataDxfId="597" totalsRowDxfId="596"/>
    <tableColumn id="9" xr3:uid="{00000000-0010-0000-0400-000009000000}" name="8" totalsRowFunction="count" dataDxfId="595" totalsRowDxfId="594"/>
    <tableColumn id="10" xr3:uid="{00000000-0010-0000-0400-00000A000000}" name="9" totalsRowFunction="count" dataDxfId="593" totalsRowDxfId="592"/>
    <tableColumn id="11" xr3:uid="{00000000-0010-0000-0400-00000B000000}" name="10" totalsRowFunction="count" dataDxfId="591" totalsRowDxfId="590"/>
    <tableColumn id="12" xr3:uid="{00000000-0010-0000-0400-00000C000000}" name="11" totalsRowFunction="count" dataDxfId="589" totalsRowDxfId="588"/>
    <tableColumn id="13" xr3:uid="{00000000-0010-0000-0400-00000D000000}" name="12" totalsRowFunction="count" dataDxfId="587" totalsRowDxfId="586"/>
    <tableColumn id="14" xr3:uid="{00000000-0010-0000-0400-00000E000000}" name="13" totalsRowFunction="count" dataDxfId="585" totalsRowDxfId="584"/>
    <tableColumn id="15" xr3:uid="{00000000-0010-0000-0400-00000F000000}" name="14" totalsRowFunction="count" dataDxfId="583" totalsRowDxfId="582"/>
    <tableColumn id="16" xr3:uid="{00000000-0010-0000-0400-000010000000}" name="15" totalsRowFunction="count" dataDxfId="581" totalsRowDxfId="580"/>
    <tableColumn id="17" xr3:uid="{00000000-0010-0000-0400-000011000000}" name="16" totalsRowFunction="count" dataDxfId="579" totalsRowDxfId="578"/>
    <tableColumn id="18" xr3:uid="{00000000-0010-0000-0400-000012000000}" name="17" totalsRowFunction="count" dataDxfId="577" totalsRowDxfId="576"/>
    <tableColumn id="19" xr3:uid="{00000000-0010-0000-0400-000013000000}" name="18" totalsRowFunction="count" dataDxfId="575" totalsRowDxfId="574"/>
    <tableColumn id="20" xr3:uid="{00000000-0010-0000-0400-000014000000}" name="19" totalsRowFunction="count" dataDxfId="573" totalsRowDxfId="572"/>
    <tableColumn id="21" xr3:uid="{00000000-0010-0000-0400-000015000000}" name="20" totalsRowFunction="count" dataDxfId="571" totalsRowDxfId="570"/>
    <tableColumn id="22" xr3:uid="{00000000-0010-0000-0400-000016000000}" name="21" totalsRowFunction="count" dataDxfId="569" totalsRowDxfId="568"/>
    <tableColumn id="23" xr3:uid="{00000000-0010-0000-0400-000017000000}" name="22" totalsRowFunction="count" dataDxfId="567" totalsRowDxfId="566"/>
    <tableColumn id="24" xr3:uid="{00000000-0010-0000-0400-000018000000}" name="23" totalsRowFunction="count" dataDxfId="565" totalsRowDxfId="564"/>
    <tableColumn id="25" xr3:uid="{00000000-0010-0000-0400-000019000000}" name="24" totalsRowFunction="count" dataDxfId="563" totalsRowDxfId="562"/>
    <tableColumn id="26" xr3:uid="{00000000-0010-0000-0400-00001A000000}" name="25" totalsRowFunction="count" dataDxfId="561" totalsRowDxfId="560"/>
    <tableColumn id="27" xr3:uid="{00000000-0010-0000-0400-00001B000000}" name="26" totalsRowFunction="count" dataDxfId="559" totalsRowDxfId="558"/>
    <tableColumn id="28" xr3:uid="{00000000-0010-0000-0400-00001C000000}" name="27" totalsRowFunction="count" dataDxfId="557" totalsRowDxfId="556"/>
    <tableColumn id="29" xr3:uid="{00000000-0010-0000-0400-00001D000000}" name="28" totalsRowFunction="count" dataDxfId="555" totalsRowDxfId="554"/>
    <tableColumn id="30" xr3:uid="{00000000-0010-0000-0400-00001E000000}" name="29" totalsRowFunction="count" dataDxfId="553" totalsRowDxfId="552"/>
    <tableColumn id="31" xr3:uid="{00000000-0010-0000-0400-00001F000000}" name="30" totalsRowFunction="count" dataDxfId="551" totalsRowDxfId="550"/>
    <tableColumn id="32" xr3:uid="{00000000-0010-0000-0400-000020000000}" name="31" totalsRowFunction="count" dataDxfId="549" totalsRowDxfId="548"/>
    <tableColumn id="33" xr3:uid="{00000000-0010-0000-0400-000021000000}" name="Łączna liczba dni" totalsRowFunction="sum" dataDxfId="547" totalsRowDxfId="546">
      <calculatedColumnFormula>COUNTA(Maj[[#This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Czerwiec" displayName="Czerwiec" ref="B6:AH12" totalsRowCount="1" headerRowDxfId="545" dataDxfId="544" totalsRowDxfId="543">
  <tableColumns count="33">
    <tableColumn id="1" xr3:uid="{00000000-0010-0000-0500-000001000000}" name="Typ prac" totalsRowFunction="custom" dataDxfId="542" totalsRowDxfId="541" dataCellStyle="Pracownik">
      <totalsRowFormula>"Suma z "&amp;Nazwa_miesiąca</totalsRowFormula>
    </tableColumn>
    <tableColumn id="2" xr3:uid="{00000000-0010-0000-0500-000002000000}" name="1" totalsRowFunction="count" dataDxfId="540" totalsRowDxfId="539"/>
    <tableColumn id="3" xr3:uid="{00000000-0010-0000-0500-000003000000}" name="2" totalsRowFunction="count" dataDxfId="538" totalsRowDxfId="537"/>
    <tableColumn id="4" xr3:uid="{00000000-0010-0000-0500-000004000000}" name="3" totalsRowFunction="count" dataDxfId="536" totalsRowDxfId="535"/>
    <tableColumn id="5" xr3:uid="{00000000-0010-0000-0500-000005000000}" name="4" totalsRowFunction="count" dataDxfId="534" totalsRowDxfId="533"/>
    <tableColumn id="6" xr3:uid="{00000000-0010-0000-0500-000006000000}" name="5" totalsRowFunction="count" dataDxfId="532" totalsRowDxfId="531"/>
    <tableColumn id="7" xr3:uid="{00000000-0010-0000-0500-000007000000}" name="6" totalsRowFunction="count" dataDxfId="530" totalsRowDxfId="529"/>
    <tableColumn id="8" xr3:uid="{00000000-0010-0000-0500-000008000000}" name="7" totalsRowFunction="count" dataDxfId="528" totalsRowDxfId="527"/>
    <tableColumn id="9" xr3:uid="{00000000-0010-0000-0500-000009000000}" name="8" totalsRowFunction="count" dataDxfId="526" totalsRowDxfId="525"/>
    <tableColumn id="10" xr3:uid="{00000000-0010-0000-0500-00000A000000}" name="9" totalsRowFunction="count" dataDxfId="524" totalsRowDxfId="523"/>
    <tableColumn id="11" xr3:uid="{00000000-0010-0000-0500-00000B000000}" name="10" totalsRowFunction="count" dataDxfId="522" totalsRowDxfId="521"/>
    <tableColumn id="12" xr3:uid="{00000000-0010-0000-0500-00000C000000}" name="11" totalsRowFunction="count" dataDxfId="520" totalsRowDxfId="519"/>
    <tableColumn id="13" xr3:uid="{00000000-0010-0000-0500-00000D000000}" name="12" totalsRowFunction="count" dataDxfId="518" totalsRowDxfId="517"/>
    <tableColumn id="14" xr3:uid="{00000000-0010-0000-0500-00000E000000}" name="13" totalsRowFunction="count" dataDxfId="516" totalsRowDxfId="515"/>
    <tableColumn id="15" xr3:uid="{00000000-0010-0000-0500-00000F000000}" name="14" totalsRowFunction="count" dataDxfId="514" totalsRowDxfId="513"/>
    <tableColumn id="16" xr3:uid="{00000000-0010-0000-0500-000010000000}" name="15" totalsRowFunction="count" dataDxfId="512" totalsRowDxfId="511"/>
    <tableColumn id="17" xr3:uid="{00000000-0010-0000-0500-000011000000}" name="16" totalsRowFunction="count" dataDxfId="510" totalsRowDxfId="509"/>
    <tableColumn id="18" xr3:uid="{00000000-0010-0000-0500-000012000000}" name="17" totalsRowFunction="count" dataDxfId="508" totalsRowDxfId="507"/>
    <tableColumn id="19" xr3:uid="{00000000-0010-0000-0500-000013000000}" name="18" totalsRowFunction="count" dataDxfId="506" totalsRowDxfId="505"/>
    <tableColumn id="20" xr3:uid="{00000000-0010-0000-0500-000014000000}" name="19" totalsRowFunction="count" dataDxfId="504" totalsRowDxfId="503"/>
    <tableColumn id="21" xr3:uid="{00000000-0010-0000-0500-000015000000}" name="20" totalsRowFunction="count" dataDxfId="502" totalsRowDxfId="501"/>
    <tableColumn id="22" xr3:uid="{00000000-0010-0000-0500-000016000000}" name="21" totalsRowFunction="count" dataDxfId="500" totalsRowDxfId="499"/>
    <tableColumn id="23" xr3:uid="{00000000-0010-0000-0500-000017000000}" name="22" totalsRowFunction="count" dataDxfId="498" totalsRowDxfId="497"/>
    <tableColumn id="24" xr3:uid="{00000000-0010-0000-0500-000018000000}" name="23" totalsRowFunction="count" dataDxfId="496" totalsRowDxfId="495"/>
    <tableColumn id="25" xr3:uid="{00000000-0010-0000-0500-000019000000}" name="24" totalsRowFunction="count" dataDxfId="494" totalsRowDxfId="493"/>
    <tableColumn id="26" xr3:uid="{00000000-0010-0000-0500-00001A000000}" name="25" totalsRowFunction="count" dataDxfId="492" totalsRowDxfId="491"/>
    <tableColumn id="27" xr3:uid="{00000000-0010-0000-0500-00001B000000}" name="26" totalsRowFunction="count" dataDxfId="490" totalsRowDxfId="489"/>
    <tableColumn id="28" xr3:uid="{00000000-0010-0000-0500-00001C000000}" name="27" totalsRowFunction="count" dataDxfId="488" totalsRowDxfId="487"/>
    <tableColumn id="29" xr3:uid="{00000000-0010-0000-0500-00001D000000}" name="28" totalsRowFunction="count" dataDxfId="486" totalsRowDxfId="485"/>
    <tableColumn id="30" xr3:uid="{00000000-0010-0000-0500-00001E000000}" name="29" totalsRowFunction="count" dataDxfId="484" totalsRowDxfId="483"/>
    <tableColumn id="31" xr3:uid="{00000000-0010-0000-0500-00001F000000}" name="30" totalsRowFunction="count" dataDxfId="482" totalsRowDxfId="481"/>
    <tableColumn id="32" xr3:uid="{00000000-0010-0000-0500-000020000000}" name=" " totalsRowFunction="count" dataDxfId="480" totalsRowDxfId="479"/>
    <tableColumn id="33" xr3:uid="{00000000-0010-0000-0500-000021000000}" name="Łączna liczba dni" totalsRowFunction="sum" dataDxfId="478" totalsRowDxfId="477">
      <calculatedColumnFormula>COUNTA(Czerwiec[[#This Row],[1]:[30]])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Lipiec" displayName="Lipiec" ref="B6:AH12" totalsRowCount="1" headerRowDxfId="476" dataDxfId="475" totalsRowDxfId="474">
  <tableColumns count="33">
    <tableColumn id="1" xr3:uid="{00000000-0010-0000-0600-000001000000}" name="Typ prac" totalsRowFunction="custom" dataDxfId="473" totalsRowDxfId="472" dataCellStyle="Pracownik">
      <totalsRowFormula>"Suma z "&amp;Nazwa_miesiąca</totalsRowFormula>
    </tableColumn>
    <tableColumn id="2" xr3:uid="{00000000-0010-0000-0600-000002000000}" name="1" totalsRowFunction="count" dataDxfId="471" totalsRowDxfId="470"/>
    <tableColumn id="3" xr3:uid="{00000000-0010-0000-0600-000003000000}" name="2" totalsRowFunction="count" dataDxfId="469" totalsRowDxfId="468"/>
    <tableColumn id="4" xr3:uid="{00000000-0010-0000-0600-000004000000}" name="3" totalsRowFunction="count" dataDxfId="467" totalsRowDxfId="466"/>
    <tableColumn id="5" xr3:uid="{00000000-0010-0000-0600-000005000000}" name="4" totalsRowFunction="count" dataDxfId="465" totalsRowDxfId="464"/>
    <tableColumn id="6" xr3:uid="{00000000-0010-0000-0600-000006000000}" name="5" totalsRowFunction="count" dataDxfId="463" totalsRowDxfId="462"/>
    <tableColumn id="7" xr3:uid="{00000000-0010-0000-0600-000007000000}" name="6" totalsRowFunction="count" dataDxfId="461" totalsRowDxfId="460"/>
    <tableColumn id="8" xr3:uid="{00000000-0010-0000-0600-000008000000}" name="7" totalsRowFunction="count" dataDxfId="459" totalsRowDxfId="458"/>
    <tableColumn id="9" xr3:uid="{00000000-0010-0000-0600-000009000000}" name="8" totalsRowFunction="count" dataDxfId="457" totalsRowDxfId="456"/>
    <tableColumn id="10" xr3:uid="{00000000-0010-0000-0600-00000A000000}" name="9" totalsRowFunction="count" dataDxfId="455" totalsRowDxfId="454"/>
    <tableColumn id="11" xr3:uid="{00000000-0010-0000-0600-00000B000000}" name="10" totalsRowFunction="count" dataDxfId="453" totalsRowDxfId="452"/>
    <tableColumn id="12" xr3:uid="{00000000-0010-0000-0600-00000C000000}" name="11" totalsRowFunction="count" dataDxfId="451" totalsRowDxfId="450"/>
    <tableColumn id="13" xr3:uid="{00000000-0010-0000-0600-00000D000000}" name="12" totalsRowFunction="count" dataDxfId="449" totalsRowDxfId="448"/>
    <tableColumn id="14" xr3:uid="{00000000-0010-0000-0600-00000E000000}" name="13" totalsRowFunction="count" dataDxfId="447" totalsRowDxfId="446"/>
    <tableColumn id="15" xr3:uid="{00000000-0010-0000-0600-00000F000000}" name="14" totalsRowFunction="count" dataDxfId="445" totalsRowDxfId="444"/>
    <tableColumn id="16" xr3:uid="{00000000-0010-0000-0600-000010000000}" name="15" totalsRowFunction="count" dataDxfId="443" totalsRowDxfId="442"/>
    <tableColumn id="17" xr3:uid="{00000000-0010-0000-0600-000011000000}" name="16" totalsRowFunction="count" dataDxfId="441" totalsRowDxfId="440"/>
    <tableColumn id="18" xr3:uid="{00000000-0010-0000-0600-000012000000}" name="17" totalsRowFunction="count" dataDxfId="439" totalsRowDxfId="438"/>
    <tableColumn id="19" xr3:uid="{00000000-0010-0000-0600-000013000000}" name="18" totalsRowFunction="count" dataDxfId="437" totalsRowDxfId="436"/>
    <tableColumn id="20" xr3:uid="{00000000-0010-0000-0600-000014000000}" name="19" totalsRowFunction="count" dataDxfId="435" totalsRowDxfId="434"/>
    <tableColumn id="21" xr3:uid="{00000000-0010-0000-0600-000015000000}" name="20" totalsRowFunction="count" dataDxfId="433" totalsRowDxfId="432"/>
    <tableColumn id="22" xr3:uid="{00000000-0010-0000-0600-000016000000}" name="21" totalsRowFunction="count" dataDxfId="431" totalsRowDxfId="430"/>
    <tableColumn id="23" xr3:uid="{00000000-0010-0000-0600-000017000000}" name="22" totalsRowFunction="count" dataDxfId="429" totalsRowDxfId="428"/>
    <tableColumn id="24" xr3:uid="{00000000-0010-0000-0600-000018000000}" name="23" totalsRowFunction="count" dataDxfId="427" totalsRowDxfId="426"/>
    <tableColumn id="25" xr3:uid="{00000000-0010-0000-0600-000019000000}" name="24" totalsRowFunction="count" dataDxfId="425" totalsRowDxfId="424"/>
    <tableColumn id="26" xr3:uid="{00000000-0010-0000-0600-00001A000000}" name="25" totalsRowFunction="count" dataDxfId="423" totalsRowDxfId="422"/>
    <tableColumn id="27" xr3:uid="{00000000-0010-0000-0600-00001B000000}" name="26" totalsRowFunction="count" dataDxfId="421" totalsRowDxfId="420"/>
    <tableColumn id="28" xr3:uid="{00000000-0010-0000-0600-00001C000000}" name="27" totalsRowFunction="count" dataDxfId="419" totalsRowDxfId="418"/>
    <tableColumn id="29" xr3:uid="{00000000-0010-0000-0600-00001D000000}" name="28" totalsRowFunction="count" dataDxfId="417" totalsRowDxfId="416"/>
    <tableColumn id="30" xr3:uid="{00000000-0010-0000-0600-00001E000000}" name="29" totalsRowFunction="count" dataDxfId="415" totalsRowDxfId="414"/>
    <tableColumn id="31" xr3:uid="{00000000-0010-0000-0600-00001F000000}" name="30" totalsRowFunction="count" dataDxfId="413" totalsRowDxfId="412"/>
    <tableColumn id="32" xr3:uid="{00000000-0010-0000-0600-000020000000}" name="31" totalsRowFunction="count" dataDxfId="411" totalsRowDxfId="410"/>
    <tableColumn id="33" xr3:uid="{00000000-0010-0000-0600-000021000000}" name="Łączna liczba dni" totalsRowFunction="sum" dataDxfId="409" totalsRowDxfId="408">
      <calculatedColumnFormula>COUNTA(Lipiec[[#This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Sierpień" displayName="Sierpień" ref="B6:AH14" totalsRowCount="1" headerRowDxfId="407" dataDxfId="406" totalsRowDxfId="405">
  <tableColumns count="33">
    <tableColumn id="1" xr3:uid="{00000000-0010-0000-0700-000001000000}" name="Typ prac" totalsRowFunction="custom" dataDxfId="404" totalsRowDxfId="403" dataCellStyle="Pracownik">
      <totalsRowFormula>"Suma z "&amp;Nazwa_miesiąca</totalsRowFormula>
    </tableColumn>
    <tableColumn id="2" xr3:uid="{00000000-0010-0000-0700-000002000000}" name="1" totalsRowFunction="count" dataDxfId="402" totalsRowDxfId="401"/>
    <tableColumn id="3" xr3:uid="{00000000-0010-0000-0700-000003000000}" name="2" totalsRowFunction="count" dataDxfId="400" totalsRowDxfId="399"/>
    <tableColumn id="4" xr3:uid="{00000000-0010-0000-0700-000004000000}" name="3" totalsRowFunction="count" dataDxfId="398" totalsRowDxfId="397"/>
    <tableColumn id="5" xr3:uid="{00000000-0010-0000-0700-000005000000}" name="4" totalsRowFunction="count" dataDxfId="396" totalsRowDxfId="395"/>
    <tableColumn id="6" xr3:uid="{00000000-0010-0000-0700-000006000000}" name="5" totalsRowFunction="count" dataDxfId="394" totalsRowDxfId="393"/>
    <tableColumn id="7" xr3:uid="{00000000-0010-0000-0700-000007000000}" name="6" totalsRowFunction="count" dataDxfId="392" totalsRowDxfId="391"/>
    <tableColumn id="8" xr3:uid="{00000000-0010-0000-0700-000008000000}" name="7" totalsRowFunction="count" dataDxfId="390" totalsRowDxfId="389"/>
    <tableColumn id="9" xr3:uid="{00000000-0010-0000-0700-000009000000}" name="8" totalsRowFunction="count" dataDxfId="388" totalsRowDxfId="387"/>
    <tableColumn id="10" xr3:uid="{00000000-0010-0000-0700-00000A000000}" name="9" totalsRowFunction="count" dataDxfId="386" totalsRowDxfId="385"/>
    <tableColumn id="11" xr3:uid="{00000000-0010-0000-0700-00000B000000}" name="10" totalsRowFunction="count" dataDxfId="384" totalsRowDxfId="383"/>
    <tableColumn id="12" xr3:uid="{00000000-0010-0000-0700-00000C000000}" name="11" totalsRowFunction="count" dataDxfId="382" totalsRowDxfId="381"/>
    <tableColumn id="13" xr3:uid="{00000000-0010-0000-0700-00000D000000}" name="12" totalsRowFunction="count" dataDxfId="380" totalsRowDxfId="379"/>
    <tableColumn id="14" xr3:uid="{00000000-0010-0000-0700-00000E000000}" name="13" totalsRowFunction="count" dataDxfId="378" totalsRowDxfId="377"/>
    <tableColumn id="15" xr3:uid="{00000000-0010-0000-0700-00000F000000}" name="14" totalsRowFunction="count" dataDxfId="376" totalsRowDxfId="375"/>
    <tableColumn id="16" xr3:uid="{00000000-0010-0000-0700-000010000000}" name="15" totalsRowFunction="count" dataDxfId="374" totalsRowDxfId="373"/>
    <tableColumn id="17" xr3:uid="{00000000-0010-0000-0700-000011000000}" name="16" totalsRowFunction="count" dataDxfId="372" totalsRowDxfId="371"/>
    <tableColumn id="18" xr3:uid="{00000000-0010-0000-0700-000012000000}" name="17" totalsRowFunction="count" dataDxfId="370" totalsRowDxfId="369"/>
    <tableColumn id="19" xr3:uid="{00000000-0010-0000-0700-000013000000}" name="18" totalsRowFunction="count" dataDxfId="368" totalsRowDxfId="367"/>
    <tableColumn id="20" xr3:uid="{00000000-0010-0000-0700-000014000000}" name="19" totalsRowFunction="count" dataDxfId="366" totalsRowDxfId="365"/>
    <tableColumn id="21" xr3:uid="{00000000-0010-0000-0700-000015000000}" name="20" totalsRowFunction="count" dataDxfId="364" totalsRowDxfId="363"/>
    <tableColumn id="22" xr3:uid="{00000000-0010-0000-0700-000016000000}" name="21" totalsRowFunction="count" dataDxfId="362" totalsRowDxfId="361"/>
    <tableColumn id="23" xr3:uid="{00000000-0010-0000-0700-000017000000}" name="22" totalsRowFunction="count" dataDxfId="360" totalsRowDxfId="359"/>
    <tableColumn id="24" xr3:uid="{00000000-0010-0000-0700-000018000000}" name="23" totalsRowFunction="count" dataDxfId="358" totalsRowDxfId="357"/>
    <tableColumn id="25" xr3:uid="{00000000-0010-0000-0700-000019000000}" name="24" totalsRowFunction="count" dataDxfId="356" totalsRowDxfId="355"/>
    <tableColumn id="26" xr3:uid="{00000000-0010-0000-0700-00001A000000}" name="25" totalsRowFunction="count" dataDxfId="354" totalsRowDxfId="353"/>
    <tableColumn id="27" xr3:uid="{00000000-0010-0000-0700-00001B000000}" name="26" totalsRowFunction="count" dataDxfId="352" totalsRowDxfId="351"/>
    <tableColumn id="28" xr3:uid="{00000000-0010-0000-0700-00001C000000}" name="27" totalsRowFunction="count" dataDxfId="350" totalsRowDxfId="349"/>
    <tableColumn id="29" xr3:uid="{00000000-0010-0000-0700-00001D000000}" name="28" totalsRowFunction="count" dataDxfId="348" totalsRowDxfId="347"/>
    <tableColumn id="30" xr3:uid="{00000000-0010-0000-0700-00001E000000}" name="29" totalsRowFunction="count" dataDxfId="346" totalsRowDxfId="345"/>
    <tableColumn id="31" xr3:uid="{00000000-0010-0000-0700-00001F000000}" name="30" totalsRowFunction="count" dataDxfId="344" totalsRowDxfId="343"/>
    <tableColumn id="32" xr3:uid="{00000000-0010-0000-0700-000020000000}" name="31" totalsRowFunction="count" dataDxfId="342" totalsRowDxfId="341"/>
    <tableColumn id="33" xr3:uid="{00000000-0010-0000-0700-000021000000}" name="Łączna liczba dni" totalsRowFunction="sum" dataDxfId="340" totalsRowDxfId="339">
      <calculatedColumnFormula>COUNTA(Sierpień[[#This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Wrzesień" displayName="Wrzesień" ref="B6:AH12" totalsRowCount="1" headerRowDxfId="338" dataDxfId="337" totalsRowDxfId="336">
  <tableColumns count="33">
    <tableColumn id="1" xr3:uid="{00000000-0010-0000-0800-000001000000}" name="Typ prac" totalsRowFunction="custom" dataDxfId="335" totalsRowDxfId="334" dataCellStyle="Pracownik">
      <totalsRowFormula>"Suma z "&amp;Nazwa_miesiąca</totalsRowFormula>
    </tableColumn>
    <tableColumn id="2" xr3:uid="{00000000-0010-0000-0800-000002000000}" name="1" totalsRowFunction="count" dataDxfId="333" totalsRowDxfId="332"/>
    <tableColumn id="3" xr3:uid="{00000000-0010-0000-0800-000003000000}" name="2" totalsRowFunction="count" dataDxfId="331" totalsRowDxfId="330"/>
    <tableColumn id="4" xr3:uid="{00000000-0010-0000-0800-000004000000}" name="3" totalsRowFunction="count" dataDxfId="329" totalsRowDxfId="328"/>
    <tableColumn id="5" xr3:uid="{00000000-0010-0000-0800-000005000000}" name="4" totalsRowFunction="count" dataDxfId="327" totalsRowDxfId="326"/>
    <tableColumn id="6" xr3:uid="{00000000-0010-0000-0800-000006000000}" name="5" totalsRowFunction="count" dataDxfId="325" totalsRowDxfId="324"/>
    <tableColumn id="7" xr3:uid="{00000000-0010-0000-0800-000007000000}" name="6" totalsRowFunction="count" dataDxfId="323" totalsRowDxfId="322"/>
    <tableColumn id="8" xr3:uid="{00000000-0010-0000-0800-000008000000}" name="7" totalsRowFunction="count" dataDxfId="321" totalsRowDxfId="320"/>
    <tableColumn id="9" xr3:uid="{00000000-0010-0000-0800-000009000000}" name="8" totalsRowFunction="count" dataDxfId="319" totalsRowDxfId="318"/>
    <tableColumn id="10" xr3:uid="{00000000-0010-0000-0800-00000A000000}" name="9" totalsRowFunction="count" dataDxfId="317" totalsRowDxfId="316"/>
    <tableColumn id="11" xr3:uid="{00000000-0010-0000-0800-00000B000000}" name="10" totalsRowFunction="count" dataDxfId="315" totalsRowDxfId="314"/>
    <tableColumn id="12" xr3:uid="{00000000-0010-0000-0800-00000C000000}" name="11" totalsRowFunction="count" dataDxfId="313" totalsRowDxfId="312"/>
    <tableColumn id="13" xr3:uid="{00000000-0010-0000-0800-00000D000000}" name="12" totalsRowFunction="count" dataDxfId="311" totalsRowDxfId="310"/>
    <tableColumn id="14" xr3:uid="{00000000-0010-0000-0800-00000E000000}" name="13" totalsRowFunction="count" dataDxfId="309" totalsRowDxfId="308"/>
    <tableColumn id="15" xr3:uid="{00000000-0010-0000-0800-00000F000000}" name="14" totalsRowFunction="count" dataDxfId="307" totalsRowDxfId="306"/>
    <tableColumn id="16" xr3:uid="{00000000-0010-0000-0800-000010000000}" name="15" totalsRowFunction="count" dataDxfId="305" totalsRowDxfId="304"/>
    <tableColumn id="17" xr3:uid="{00000000-0010-0000-0800-000011000000}" name="16" totalsRowFunction="count" dataDxfId="303" totalsRowDxfId="302"/>
    <tableColumn id="18" xr3:uid="{00000000-0010-0000-0800-000012000000}" name="17" totalsRowFunction="count" dataDxfId="301" totalsRowDxfId="300"/>
    <tableColumn id="19" xr3:uid="{00000000-0010-0000-0800-000013000000}" name="18" totalsRowFunction="count" dataDxfId="299" totalsRowDxfId="298"/>
    <tableColumn id="20" xr3:uid="{00000000-0010-0000-0800-000014000000}" name="19" totalsRowFunction="count" dataDxfId="297" totalsRowDxfId="296"/>
    <tableColumn id="21" xr3:uid="{00000000-0010-0000-0800-000015000000}" name="20" totalsRowFunction="count" dataDxfId="295" totalsRowDxfId="294"/>
    <tableColumn id="22" xr3:uid="{00000000-0010-0000-0800-000016000000}" name="21" totalsRowFunction="count" dataDxfId="293" totalsRowDxfId="292"/>
    <tableColumn id="23" xr3:uid="{00000000-0010-0000-0800-000017000000}" name="22" totalsRowFunction="count" dataDxfId="291" totalsRowDxfId="290"/>
    <tableColumn id="24" xr3:uid="{00000000-0010-0000-0800-000018000000}" name="23" totalsRowFunction="count" dataDxfId="289" totalsRowDxfId="288"/>
    <tableColumn id="25" xr3:uid="{00000000-0010-0000-0800-000019000000}" name="24" totalsRowFunction="count" dataDxfId="287" totalsRowDxfId="286"/>
    <tableColumn id="26" xr3:uid="{00000000-0010-0000-0800-00001A000000}" name="25" totalsRowFunction="count" dataDxfId="285" totalsRowDxfId="284"/>
    <tableColumn id="27" xr3:uid="{00000000-0010-0000-0800-00001B000000}" name="26" totalsRowFunction="count" dataDxfId="283" totalsRowDxfId="282"/>
    <tableColumn id="28" xr3:uid="{00000000-0010-0000-0800-00001C000000}" name="27" totalsRowFunction="count" dataDxfId="281" totalsRowDxfId="280"/>
    <tableColumn id="29" xr3:uid="{00000000-0010-0000-0800-00001D000000}" name="28" totalsRowFunction="count" dataDxfId="279" totalsRowDxfId="278"/>
    <tableColumn id="30" xr3:uid="{00000000-0010-0000-0800-00001E000000}" name="29" totalsRowFunction="count" dataDxfId="277" totalsRowDxfId="276"/>
    <tableColumn id="31" xr3:uid="{00000000-0010-0000-0800-00001F000000}" name="30" totalsRowFunction="count" dataDxfId="275" totalsRowDxfId="274"/>
    <tableColumn id="32" xr3:uid="{00000000-0010-0000-0800-000020000000}" name=" " totalsRowFunction="count" dataDxfId="273" totalsRowDxfId="272"/>
    <tableColumn id="33" xr3:uid="{00000000-0010-0000-0800-000021000000}" name="Łączna liczba dni" totalsRowFunction="sum" dataDxfId="271" totalsRowDxfId="270">
      <calculatedColumnFormula>COUNTA(Wrzesień[[#This Row],[1]:[30]])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heme/theme1.xml><?xml version="1.0" encoding="utf-8"?>
<a:theme xmlns:a="http://schemas.openxmlformats.org/drawingml/2006/main" name="Office Theme">
  <a:themeElements>
    <a:clrScheme name="Employee Absense Schedule">
      <a:dk1>
        <a:sysClr val="windowText" lastClr="000000"/>
      </a:dk1>
      <a:lt1>
        <a:sysClr val="window" lastClr="FFFFFF"/>
      </a:lt1>
      <a:dk2>
        <a:srgbClr val="4B180E"/>
      </a:dk2>
      <a:lt2>
        <a:srgbClr val="F1F2E8"/>
      </a:lt2>
      <a:accent1>
        <a:srgbClr val="A53423"/>
      </a:accent1>
      <a:accent2>
        <a:srgbClr val="E68130"/>
      </a:accent2>
      <a:accent3>
        <a:srgbClr val="9BB05D"/>
      </a:accent3>
      <a:accent4>
        <a:srgbClr val="CC9900"/>
      </a:accent4>
      <a:accent5>
        <a:srgbClr val="4F66AF"/>
      </a:accent5>
      <a:accent6>
        <a:srgbClr val="D0D2D3"/>
      </a:accent6>
      <a:hlink>
        <a:srgbClr val="4F66AF"/>
      </a:hlink>
      <a:folHlink>
        <a:srgbClr val="6B9AC6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89999084444715716"/>
    <pageSetUpPr fitToPage="1"/>
  </sheetPr>
  <dimension ref="A1:AL12"/>
  <sheetViews>
    <sheetView showGridLines="0" zoomScale="70" zoomScaleNormal="70" workbookViewId="0">
      <selection activeCell="E14" sqref="E14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1:38" ht="50.15" customHeight="1" x14ac:dyDescent="0.35">
      <c r="A1" s="11"/>
      <c r="B1" s="8" t="s">
        <v>63</v>
      </c>
      <c r="AJ1" s="21" t="e" vm="1">
        <v>#VALUE!</v>
      </c>
      <c r="AK1" s="21"/>
      <c r="AL1" s="21"/>
    </row>
    <row r="2" spans="1:38" ht="15" customHeight="1" x14ac:dyDescent="0.35">
      <c r="B2" s="12" t="s">
        <v>54</v>
      </c>
      <c r="C2" s="25"/>
      <c r="D2" s="25"/>
      <c r="E2" s="25"/>
      <c r="F2" s="26"/>
      <c r="G2" s="25"/>
      <c r="H2" s="25"/>
      <c r="I2" s="25"/>
      <c r="J2" s="27"/>
      <c r="K2" s="25"/>
      <c r="L2" s="25"/>
      <c r="M2" s="25"/>
      <c r="N2" s="25"/>
      <c r="O2" s="25"/>
      <c r="P2" s="3" t="s">
        <v>52</v>
      </c>
      <c r="Q2" s="23" t="s">
        <v>53</v>
      </c>
      <c r="R2" s="23"/>
      <c r="S2" s="23"/>
      <c r="T2" s="23"/>
      <c r="U2" s="28"/>
      <c r="V2" s="23"/>
      <c r="W2" s="23"/>
      <c r="X2" s="23"/>
      <c r="Y2" s="23"/>
      <c r="AJ2" s="21"/>
      <c r="AK2" s="21"/>
      <c r="AL2" s="21"/>
    </row>
    <row r="3" spans="1:38" ht="15" customHeight="1" x14ac:dyDescent="0.35">
      <c r="AH3" s="13" t="s">
        <v>32</v>
      </c>
      <c r="AJ3" s="21"/>
      <c r="AK3" s="21"/>
      <c r="AL3" s="21"/>
    </row>
    <row r="4" spans="1:38" ht="30" customHeight="1" x14ac:dyDescent="0.35">
      <c r="B4" s="6" t="s">
        <v>0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v>2025</v>
      </c>
    </row>
    <row r="5" spans="1:38" ht="15" customHeight="1" x14ac:dyDescent="0.35">
      <c r="B5" s="6"/>
      <c r="C5" s="2" t="str">
        <f>TEXT(WEEKDAY(DATE(Rok_kalendarzowy,1,1),1),"aaa")</f>
        <v>śr</v>
      </c>
      <c r="D5" s="2" t="str">
        <f>TEXT(WEEKDAY(DATE(Rok_kalendarzowy,1,2),1),"aaa")</f>
        <v>czw</v>
      </c>
      <c r="E5" s="2" t="str">
        <f>TEXT(WEEKDAY(DATE(Rok_kalendarzowy,1,3),1),"aaa")</f>
        <v>pt</v>
      </c>
      <c r="F5" s="2" t="str">
        <f>TEXT(WEEKDAY(DATE(Rok_kalendarzowy,1,4),1),"aaa")</f>
        <v>sob</v>
      </c>
      <c r="G5" s="2" t="str">
        <f>TEXT(WEEKDAY(DATE(Rok_kalendarzowy,1,5),1),"aaa")</f>
        <v>niedz</v>
      </c>
      <c r="H5" s="2" t="str">
        <f>TEXT(WEEKDAY(DATE(Rok_kalendarzowy,1,6),1),"aaa")</f>
        <v>pon</v>
      </c>
      <c r="I5" s="2" t="str">
        <f>TEXT(WEEKDAY(DATE(Rok_kalendarzowy,1,7),1),"aaa")</f>
        <v>wt</v>
      </c>
      <c r="J5" s="2" t="str">
        <f>TEXT(WEEKDAY(DATE(Rok_kalendarzowy,1,8),1),"aaa")</f>
        <v>śr</v>
      </c>
      <c r="K5" s="2" t="str">
        <f>TEXT(WEEKDAY(DATE(Rok_kalendarzowy,1,9),1),"aaa")</f>
        <v>czw</v>
      </c>
      <c r="L5" s="2" t="str">
        <f>TEXT(WEEKDAY(DATE(Rok_kalendarzowy,1,10),1),"aaa")</f>
        <v>pt</v>
      </c>
      <c r="M5" s="2" t="str">
        <f>TEXT(WEEKDAY(DATE(Rok_kalendarzowy,1,11),1),"aaa")</f>
        <v>sob</v>
      </c>
      <c r="N5" s="2" t="str">
        <f>TEXT(WEEKDAY(DATE(Rok_kalendarzowy,1,12),1),"aaa")</f>
        <v>niedz</v>
      </c>
      <c r="O5" s="2" t="str">
        <f>TEXT(WEEKDAY(DATE(Rok_kalendarzowy,1,13),1),"aaa")</f>
        <v>pon</v>
      </c>
      <c r="P5" s="2" t="str">
        <f>TEXT(WEEKDAY(DATE(Rok_kalendarzowy,1,14),1),"aaa")</f>
        <v>wt</v>
      </c>
      <c r="Q5" s="2" t="str">
        <f>TEXT(WEEKDAY(DATE(Rok_kalendarzowy,1,15),1),"aaa")</f>
        <v>śr</v>
      </c>
      <c r="R5" s="2" t="str">
        <f>TEXT(WEEKDAY(DATE(Rok_kalendarzowy,1,16),1),"aaa")</f>
        <v>czw</v>
      </c>
      <c r="S5" s="2" t="str">
        <f>TEXT(WEEKDAY(DATE(Rok_kalendarzowy,1,17),1),"aaa")</f>
        <v>pt</v>
      </c>
      <c r="T5" s="2" t="str">
        <f>TEXT(WEEKDAY(DATE(Rok_kalendarzowy,1,18),1),"aaa")</f>
        <v>sob</v>
      </c>
      <c r="U5" s="2" t="str">
        <f>TEXT(WEEKDAY(DATE(Rok_kalendarzowy,1,19),1),"aaa")</f>
        <v>niedz</v>
      </c>
      <c r="V5" s="2" t="str">
        <f>TEXT(WEEKDAY(DATE(Rok_kalendarzowy,1,20),1),"aaa")</f>
        <v>pon</v>
      </c>
      <c r="W5" s="2" t="str">
        <f>TEXT(WEEKDAY(DATE(Rok_kalendarzowy,1,21),1),"aaa")</f>
        <v>wt</v>
      </c>
      <c r="X5" s="2" t="str">
        <f>TEXT(WEEKDAY(DATE(Rok_kalendarzowy,1,22),1),"aaa")</f>
        <v>śr</v>
      </c>
      <c r="Y5" s="2" t="str">
        <f>TEXT(WEEKDAY(DATE(Rok_kalendarzowy,1,23),1),"aaa")</f>
        <v>czw</v>
      </c>
      <c r="Z5" s="2" t="str">
        <f>TEXT(WEEKDAY(DATE(Rok_kalendarzowy,1,24),1),"aaa")</f>
        <v>pt</v>
      </c>
      <c r="AA5" s="2" t="str">
        <f>TEXT(WEEKDAY(DATE(Rok_kalendarzowy,1,25),1),"aaa")</f>
        <v>sob</v>
      </c>
      <c r="AB5" s="2" t="str">
        <f>TEXT(WEEKDAY(DATE(Rok_kalendarzowy,1,26),1),"aaa")</f>
        <v>niedz</v>
      </c>
      <c r="AC5" s="2" t="str">
        <f>TEXT(WEEKDAY(DATE(Rok_kalendarzowy,1,27),1),"aaa")</f>
        <v>pon</v>
      </c>
      <c r="AD5" s="2" t="str">
        <f>TEXT(WEEKDAY(DATE(Rok_kalendarzowy,1,28),1),"aaa")</f>
        <v>wt</v>
      </c>
      <c r="AE5" s="2" t="str">
        <f>TEXT(WEEKDAY(DATE(Rok_kalendarzowy,1,29),1),"aaa")</f>
        <v>śr</v>
      </c>
      <c r="AF5" s="2" t="str">
        <f>TEXT(WEEKDAY(DATE(Rok_kalendarzowy,1,30),1),"aaa")</f>
        <v>czw</v>
      </c>
      <c r="AG5" s="2" t="str">
        <f>TEXT(WEEKDAY(DATE(Rok_kalendarzowy,1,31),1),"aaa")</f>
        <v>pt</v>
      </c>
      <c r="AH5" s="6"/>
      <c r="AJ5" s="20"/>
      <c r="AK5" s="20"/>
      <c r="AL5" s="20"/>
    </row>
    <row r="6" spans="1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1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COUNTA(Styczeń!$C7:$AG7)</f>
        <v>0</v>
      </c>
      <c r="AJ7" s="20"/>
      <c r="AK7" s="20"/>
      <c r="AL7" s="20"/>
    </row>
    <row r="8" spans="1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COUNTA(Styczeń!$C8:$AG8)</f>
        <v>0</v>
      </c>
      <c r="AJ8" s="20"/>
      <c r="AK8" s="20"/>
      <c r="AL8" s="20"/>
    </row>
    <row r="9" spans="1:38" ht="30" customHeight="1" x14ac:dyDescent="0.35">
      <c r="B9" s="4" t="s">
        <v>61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COUNTA(Styczeń!$C9:$AG9)</f>
        <v>0</v>
      </c>
    </row>
    <row r="10" spans="1:38" ht="30" customHeight="1" x14ac:dyDescent="0.35">
      <c r="B10" s="4" t="s">
        <v>61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COUNTA(Styczeń!$C10:$AG10)</f>
        <v>0</v>
      </c>
      <c r="AJ10" s="20"/>
      <c r="AK10" s="20"/>
      <c r="AL10" s="20"/>
    </row>
    <row r="11" spans="1:38" ht="30" customHeight="1" x14ac:dyDescent="0.35">
      <c r="B11" s="4" t="s">
        <v>61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COUNTA(Styczeń!$C11:$AG11)</f>
        <v>0</v>
      </c>
      <c r="AJ11" s="20"/>
      <c r="AK11" s="20"/>
      <c r="AL11" s="20"/>
    </row>
    <row r="12" spans="1:38" ht="30" customHeight="1" x14ac:dyDescent="0.35">
      <c r="B12" s="14" t="str">
        <f>"Suma z "&amp;Nazwa_miesiąca</f>
        <v>Suma z Styczeń</v>
      </c>
      <c r="C12" s="7">
        <f>SUBTOTAL(103,Styczeń!$C$7:$C$11)</f>
        <v>0</v>
      </c>
      <c r="D12" s="7">
        <f>SUBTOTAL(103,Styczeń!$D$7:$D$11)</f>
        <v>0</v>
      </c>
      <c r="E12" s="7">
        <f>SUBTOTAL(103,Styczeń!$E$7:$E$11)</f>
        <v>0</v>
      </c>
      <c r="F12" s="7">
        <f>SUBTOTAL(103,Styczeń!$F$7:$F$11)</f>
        <v>0</v>
      </c>
      <c r="G12" s="7">
        <f>SUBTOTAL(103,Styczeń!$G$7:$G$11)</f>
        <v>0</v>
      </c>
      <c r="H12" s="7">
        <f>SUBTOTAL(103,Styczeń!$H$7:$H$11)</f>
        <v>0</v>
      </c>
      <c r="I12" s="7">
        <f>SUBTOTAL(103,Styczeń!$I$7:$I$11)</f>
        <v>0</v>
      </c>
      <c r="J12" s="7">
        <f>SUBTOTAL(103,Styczeń!$J$7:$J$11)</f>
        <v>0</v>
      </c>
      <c r="K12" s="7">
        <f>SUBTOTAL(103,Styczeń!$K$7:$K$11)</f>
        <v>0</v>
      </c>
      <c r="L12" s="7">
        <f>SUBTOTAL(103,Styczeń!$L$7:$L$11)</f>
        <v>0</v>
      </c>
      <c r="M12" s="7">
        <f>SUBTOTAL(103,Styczeń!$M$7:$M$11)</f>
        <v>0</v>
      </c>
      <c r="N12" s="7">
        <f>SUBTOTAL(103,Styczeń!$N$7:$N$11)</f>
        <v>0</v>
      </c>
      <c r="O12" s="7">
        <f>SUBTOTAL(103,Styczeń!$O$7:$O$11)</f>
        <v>0</v>
      </c>
      <c r="P12" s="7">
        <f>SUBTOTAL(103,Styczeń!$P$7:$P$11)</f>
        <v>0</v>
      </c>
      <c r="Q12" s="7">
        <f>SUBTOTAL(103,Styczeń!$Q$7:$Q$11)</f>
        <v>0</v>
      </c>
      <c r="R12" s="7">
        <f>SUBTOTAL(103,Styczeń!$R$7:$R$11)</f>
        <v>0</v>
      </c>
      <c r="S12" s="7">
        <f>SUBTOTAL(103,Styczeń!$S$7:$S$11)</f>
        <v>0</v>
      </c>
      <c r="T12" s="7">
        <f>SUBTOTAL(103,Styczeń!$T$7:$T$11)</f>
        <v>0</v>
      </c>
      <c r="U12" s="7">
        <f>SUBTOTAL(103,Styczeń!$U$7:$U$11)</f>
        <v>0</v>
      </c>
      <c r="V12" s="7">
        <f>SUBTOTAL(103,Styczeń!$V$7:$V$11)</f>
        <v>0</v>
      </c>
      <c r="W12" s="7">
        <f>SUBTOTAL(103,Styczeń!$W$7:$W$11)</f>
        <v>0</v>
      </c>
      <c r="X12" s="7">
        <f>SUBTOTAL(103,Styczeń!$X$7:$X$11)</f>
        <v>0</v>
      </c>
      <c r="Y12" s="7">
        <f>SUBTOTAL(103,Styczeń!$Y$7:$Y$11)</f>
        <v>0</v>
      </c>
      <c r="Z12" s="7">
        <f>SUBTOTAL(103,Styczeń!$Z$7:$Z$11)</f>
        <v>0</v>
      </c>
      <c r="AA12" s="7">
        <f>SUBTOTAL(103,Styczeń!$AA$7:$AA$11)</f>
        <v>0</v>
      </c>
      <c r="AB12" s="7">
        <f>SUBTOTAL(103,Styczeń!$AB$7:$AB$11)</f>
        <v>0</v>
      </c>
      <c r="AC12" s="7">
        <f>SUBTOTAL(103,Styczeń!$AC$7:$AC$11)</f>
        <v>0</v>
      </c>
      <c r="AD12" s="7">
        <f>SUBTOTAL(103,Styczeń!$AD$7:$AD$11)</f>
        <v>0</v>
      </c>
      <c r="AE12" s="7">
        <f>SUBTOTAL(103,Styczeń!$AE$7:$AE$11)</f>
        <v>0</v>
      </c>
      <c r="AF12" s="7">
        <f>SUBTOTAL(103,Styczeń!$AF$7:$AF$11)</f>
        <v>0</v>
      </c>
      <c r="AG12" s="7">
        <f>SUBTOTAL(103,Styczeń!$AG$7:$AG$11)</f>
        <v>0</v>
      </c>
      <c r="AH12" s="7">
        <f>SUBTOTAL(109,Styczeń[Łączna liczba dni])</f>
        <v>0</v>
      </c>
      <c r="AJ12" s="20"/>
      <c r="AK12" s="20"/>
      <c r="AL12" s="20"/>
    </row>
  </sheetData>
  <mergeCells count="7">
    <mergeCell ref="AJ1:AL3"/>
    <mergeCell ref="C4:AG4"/>
    <mergeCell ref="C2:E2"/>
    <mergeCell ref="G2:I2"/>
    <mergeCell ref="K2:O2"/>
    <mergeCell ref="Q2:T2"/>
    <mergeCell ref="V2:Y2"/>
  </mergeCells>
  <conditionalFormatting sqref="C7:AG11">
    <cfRule type="expression" priority="1" stopIfTrue="1">
      <formula>C7=""</formula>
    </cfRule>
    <cfRule type="expression" dxfId="61" priority="6" stopIfTrue="1">
      <formula>C7=Klucz_niestandardowy_2</formula>
    </cfRule>
    <cfRule type="expression" dxfId="60" priority="7" stopIfTrue="1">
      <formula>C7=Klucz_niestandardowy_1</formula>
    </cfRule>
    <cfRule type="expression" dxfId="59" priority="8" stopIfTrue="1">
      <formula>C7=Klucz_Zwolnienie_lekarskie</formula>
    </cfRule>
    <cfRule type="expression" dxfId="58" priority="9" stopIfTrue="1">
      <formula>C7=Klucz_Osobiste</formula>
    </cfRule>
    <cfRule type="expression" dxfId="57" priority="10" stopIfTrue="1">
      <formula>C7=Klucz_Urlop</formula>
    </cfRule>
  </conditionalFormatting>
  <conditionalFormatting sqref="AH7:AH11">
    <cfRule type="dataBar" priority="168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dataValidations count="12">
    <dataValidation allowBlank="1" showInputMessage="1" showErrorMessage="1" prompt="W tej komórce wprowadź rok" sqref="AH4" xr:uid="{00000000-0002-0000-0000-000000000000}"/>
    <dataValidation errorStyle="warning" allowBlank="1" showErrorMessage="1" error="Wybierz nazwisko z listy. Wybierz pozycję ANULUJ, a następnie naciśnij klawisze ALT+STRZAŁKA W DÓŁ i klawisz ENTER, aby wybrać nazwisko" sqref="B6" xr:uid="{00000000-0002-0000-0000-000001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000-000002000000}"/>
    <dataValidation allowBlank="1" showInputMessage="1" showErrorMessage="1" prompt="W tym wierszu dni tygodnia dla danego miesiąca są aktualizowane automatycznie według roku wprowadzonego w komórce AH4. Każdy dzień miesiąca jest reprezentowany przez kolumnę, w której można zanotować nieobecność pracownika i typ nieobecności" sqref="C5" xr:uid="{00000000-0002-0000-0000-000003000000}"/>
    <dataValidation allowBlank="1" showInputMessage="1" showErrorMessage="1" prompt="Automatycznie oblicza łączną liczbę dni nieobecności pracownika w danym miesiącu" sqref="AH6" xr:uid="{00000000-0002-0000-0000-000004000000}"/>
    <dataValidation allowBlank="1" showInputMessage="1" showErrorMessage="1" prompt="W tej komórce znajduje się tytuł tego arkusza. Zaktualizuj tytuł, a każdy arkusz automatycznie odziedziczy tę zmianę." sqref="B1" xr:uid="{00000000-0002-0000-0000-000005000000}"/>
    <dataValidation allowBlank="1" showInputMessage="1" showErrorMessage="1" prompt="Miesiąc tego harmonogramu Prac . Zaktualizuj rok w komórce AH4. W ostatniej komórce tabeli są śledzone sumy dni prac  według miesiąca." sqref="B4" xr:uid="{00000000-0002-0000-0000-000006000000}"/>
    <dataValidation allowBlank="1" showErrorMessage="1" sqref="J2 U2" xr:uid="{00000000-0002-0000-0000-00000A000000}"/>
    <dataValidation allowBlank="1" showInputMessage="1" showErrorMessage="1" prompt="Wprowadź etykietę, aby opisać klucz niestandardowy po lewej stronie." sqref="Q2 V2" xr:uid="{00000000-0002-0000-0000-00000C000000}"/>
    <dataValidation allowBlank="1" showInputMessage="1" showErrorMessage="1" prompt="Harmonogram nieobecności pracowników pozwala śledzić nieobecność pracowników według dni dla każdego miesiąca. Zawiera on 13 arkuszy: 12 miesięcznych i ostatni z nazwiskami pracowników. Za pomocą tego arkusza śledź nieobecności w styczniu" sqref="A1" xr:uid="{00000000-0002-0000-0000-00000D000000}"/>
    <dataValidation allowBlank="1" showInputMessage="1" showErrorMessage="1" prompt="Wpisz rok w komórce poniżej" sqref="AH3" xr:uid="{00000000-0002-0000-0000-00000E000000}"/>
    <dataValidation allowBlank="1" showInputMessage="1" showErrorMessage="1" prompt="Litera 'P' oznacza prace na polu" sqref="P2" xr:uid="{A3FA0214-9BF3-489C-815C-9CB8A2EE4322}"/>
  </dataValidations>
  <printOptions horizontalCentered="1"/>
  <pageMargins left="0.25" right="0.25" top="0.75" bottom="0.75" header="0.3" footer="0.3"/>
  <pageSetup paperSize="9" scale="73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BAE858-2F8C-4E00-ACA1-A7DB8B2F0A20}">
          <x14:formula1>
            <xm:f>'Nazwa prac'!$B$4:$B$14</xm:f>
          </x14:formula1>
          <xm:sqref>B7:B11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249977111117893"/>
    <pageSetUpPr fitToPage="1"/>
  </sheetPr>
  <dimension ref="B1:AL12"/>
  <sheetViews>
    <sheetView showGridLines="0" tabSelected="1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5"/>
      <c r="E2" s="25"/>
      <c r="F2" s="25"/>
      <c r="G2" s="26"/>
      <c r="H2" s="25"/>
      <c r="I2" s="25"/>
      <c r="J2" s="25"/>
      <c r="K2" s="27"/>
      <c r="L2" s="23"/>
      <c r="M2" s="23"/>
      <c r="N2" s="23"/>
      <c r="O2" s="23"/>
      <c r="P2" s="23"/>
      <c r="Q2" s="3" t="s">
        <v>52</v>
      </c>
      <c r="R2" s="23" t="s">
        <v>62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44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TEXT(WEEKDAY(DATE(Rok_kalendarzowy,10,1),1),"aaa")</f>
        <v>śr</v>
      </c>
      <c r="D5" s="2" t="str">
        <f>TEXT(WEEKDAY(DATE(Rok_kalendarzowy,10,2),1),"aaa")</f>
        <v>czw</v>
      </c>
      <c r="E5" s="2" t="str">
        <f>TEXT(WEEKDAY(DATE(Rok_kalendarzowy,10,3),1),"aaa")</f>
        <v>pt</v>
      </c>
      <c r="F5" s="2" t="str">
        <f>TEXT(WEEKDAY(DATE(Rok_kalendarzowy,10,4),1),"aaa")</f>
        <v>sob</v>
      </c>
      <c r="G5" s="2" t="str">
        <f>TEXT(WEEKDAY(DATE(Rok_kalendarzowy,10,5),1),"aaa")</f>
        <v>niedz</v>
      </c>
      <c r="H5" s="2" t="str">
        <f>TEXT(WEEKDAY(DATE(Rok_kalendarzowy,10,6),1),"aaa")</f>
        <v>pon</v>
      </c>
      <c r="I5" s="2" t="str">
        <f>TEXT(WEEKDAY(DATE(Rok_kalendarzowy,10,7),1),"aaa")</f>
        <v>wt</v>
      </c>
      <c r="J5" s="2" t="str">
        <f>TEXT(WEEKDAY(DATE(Rok_kalendarzowy,10,8),1),"aaa")</f>
        <v>śr</v>
      </c>
      <c r="K5" s="2" t="str">
        <f>TEXT(WEEKDAY(DATE(Rok_kalendarzowy,10,9),1),"aaa")</f>
        <v>czw</v>
      </c>
      <c r="L5" s="2" t="str">
        <f>TEXT(WEEKDAY(DATE(Rok_kalendarzowy,10,10),1),"aaa")</f>
        <v>pt</v>
      </c>
      <c r="M5" s="2" t="str">
        <f>TEXT(WEEKDAY(DATE(Rok_kalendarzowy,10,11),1),"aaa")</f>
        <v>sob</v>
      </c>
      <c r="N5" s="2" t="str">
        <f>TEXT(WEEKDAY(DATE(Rok_kalendarzowy,10,12),1),"aaa")</f>
        <v>niedz</v>
      </c>
      <c r="O5" s="2" t="str">
        <f>TEXT(WEEKDAY(DATE(Rok_kalendarzowy,10,13),1),"aaa")</f>
        <v>pon</v>
      </c>
      <c r="P5" s="2" t="str">
        <f>TEXT(WEEKDAY(DATE(Rok_kalendarzowy,10,14),1),"aaa")</f>
        <v>wt</v>
      </c>
      <c r="Q5" s="2" t="str">
        <f>TEXT(WEEKDAY(DATE(Rok_kalendarzowy,10,15),1),"aaa")</f>
        <v>śr</v>
      </c>
      <c r="R5" s="2" t="str">
        <f>TEXT(WEEKDAY(DATE(Rok_kalendarzowy,10,16),1),"aaa")</f>
        <v>czw</v>
      </c>
      <c r="S5" s="2" t="str">
        <f>TEXT(WEEKDAY(DATE(Rok_kalendarzowy,10,17),1),"aaa")</f>
        <v>pt</v>
      </c>
      <c r="T5" s="2" t="str">
        <f>TEXT(WEEKDAY(DATE(Rok_kalendarzowy,10,18),1),"aaa")</f>
        <v>sob</v>
      </c>
      <c r="U5" s="2" t="str">
        <f>TEXT(WEEKDAY(DATE(Rok_kalendarzowy,10,19),1),"aaa")</f>
        <v>niedz</v>
      </c>
      <c r="V5" s="2" t="str">
        <f>TEXT(WEEKDAY(DATE(Rok_kalendarzowy,10,20),1),"aaa")</f>
        <v>pon</v>
      </c>
      <c r="W5" s="2" t="str">
        <f>TEXT(WEEKDAY(DATE(Rok_kalendarzowy,10,21),1),"aaa")</f>
        <v>wt</v>
      </c>
      <c r="X5" s="2" t="str">
        <f>TEXT(WEEKDAY(DATE(Rok_kalendarzowy,10,22),1),"aaa")</f>
        <v>śr</v>
      </c>
      <c r="Y5" s="2" t="str">
        <f>TEXT(WEEKDAY(DATE(Rok_kalendarzowy,10,23),1),"aaa")</f>
        <v>czw</v>
      </c>
      <c r="Z5" s="2" t="str">
        <f>TEXT(WEEKDAY(DATE(Rok_kalendarzowy,10,24),1),"aaa")</f>
        <v>pt</v>
      </c>
      <c r="AA5" s="2" t="str">
        <f>TEXT(WEEKDAY(DATE(Rok_kalendarzowy,10,25),1),"aaa")</f>
        <v>sob</v>
      </c>
      <c r="AB5" s="2" t="str">
        <f>TEXT(WEEKDAY(DATE(Rok_kalendarzowy,10,26),1),"aaa")</f>
        <v>niedz</v>
      </c>
      <c r="AC5" s="2" t="str">
        <f>TEXT(WEEKDAY(DATE(Rok_kalendarzowy,10,27),1),"aaa")</f>
        <v>pon</v>
      </c>
      <c r="AD5" s="2" t="str">
        <f>TEXT(WEEKDAY(DATE(Rok_kalendarzowy,10,28),1),"aaa")</f>
        <v>wt</v>
      </c>
      <c r="AE5" s="2" t="str">
        <f>TEXT(WEEKDAY(DATE(Rok_kalendarzowy,10,29),1),"aaa")</f>
        <v>śr</v>
      </c>
      <c r="AF5" s="2" t="str">
        <f>TEXT(WEEKDAY(DATE(Rok_kalendarzowy,10,30),1),"aaa")</f>
        <v>czw</v>
      </c>
      <c r="AG5" s="2" t="str">
        <f>TEXT(WEEKDAY(DATE(Rok_kalendarzowy,10,31),1),"aaa")</f>
        <v>pt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59</v>
      </c>
      <c r="C7" s="2" t="s">
        <v>52</v>
      </c>
      <c r="D7" s="2" t="s">
        <v>52</v>
      </c>
      <c r="E7" s="2" t="s">
        <v>52</v>
      </c>
      <c r="F7" s="2" t="s">
        <v>52</v>
      </c>
      <c r="G7" s="2" t="s">
        <v>52</v>
      </c>
      <c r="H7" s="2" t="s">
        <v>52</v>
      </c>
      <c r="I7" s="2" t="s">
        <v>52</v>
      </c>
      <c r="J7" s="2" t="s">
        <v>52</v>
      </c>
      <c r="K7" s="2" t="s">
        <v>52</v>
      </c>
      <c r="L7" s="2" t="s">
        <v>52</v>
      </c>
      <c r="M7" s="2" t="s">
        <v>52</v>
      </c>
      <c r="N7" s="2" t="s">
        <v>52</v>
      </c>
      <c r="O7" s="2" t="s">
        <v>52</v>
      </c>
      <c r="P7" s="2" t="s">
        <v>52</v>
      </c>
      <c r="Q7" s="2" t="s">
        <v>52</v>
      </c>
      <c r="R7" s="2" t="s">
        <v>52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COUNTA(Październik[[#This Row],[1]:[31]])</f>
        <v>16</v>
      </c>
      <c r="AJ7" s="20"/>
      <c r="AK7" s="20"/>
      <c r="AL7" s="20"/>
    </row>
    <row r="8" spans="2:38" ht="30" customHeight="1" x14ac:dyDescent="0.35">
      <c r="B8" s="4" t="s">
        <v>65</v>
      </c>
      <c r="C8" s="2" t="s">
        <v>52</v>
      </c>
      <c r="D8" s="2" t="s">
        <v>52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52</v>
      </c>
      <c r="R8" s="2" t="s">
        <v>52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COUNTA(Październik[[#This Row],[1]:[31]])</f>
        <v>16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COUNTA(Październik[[#This Row],[1]:[31]])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COUNTA(Październik[[#This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COUNTA(Październik[[#This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Październik</v>
      </c>
      <c r="C12" s="7">
        <f>SUBTOTAL(103,Październik[1])</f>
        <v>2</v>
      </c>
      <c r="D12" s="7">
        <f>SUBTOTAL(103,Październik[2])</f>
        <v>2</v>
      </c>
      <c r="E12" s="7">
        <f>SUBTOTAL(103,Październik[3])</f>
        <v>2</v>
      </c>
      <c r="F12" s="7">
        <f>SUBTOTAL(103,Październik[4])</f>
        <v>2</v>
      </c>
      <c r="G12" s="7">
        <f>SUBTOTAL(103,Październik[5])</f>
        <v>2</v>
      </c>
      <c r="H12" s="7">
        <f>SUBTOTAL(103,Październik[6])</f>
        <v>2</v>
      </c>
      <c r="I12" s="7">
        <f>SUBTOTAL(103,Październik[7])</f>
        <v>2</v>
      </c>
      <c r="J12" s="7">
        <f>SUBTOTAL(103,Październik[8])</f>
        <v>2</v>
      </c>
      <c r="K12" s="7">
        <f>SUBTOTAL(103,Październik[9])</f>
        <v>2</v>
      </c>
      <c r="L12" s="7">
        <f>SUBTOTAL(103,Październik[10])</f>
        <v>2</v>
      </c>
      <c r="M12" s="7">
        <f>SUBTOTAL(103,Październik[11])</f>
        <v>2</v>
      </c>
      <c r="N12" s="7">
        <f>SUBTOTAL(103,Październik[12])</f>
        <v>2</v>
      </c>
      <c r="O12" s="7">
        <f>SUBTOTAL(103,Październik[13])</f>
        <v>2</v>
      </c>
      <c r="P12" s="7">
        <f>SUBTOTAL(103,Październik[14])</f>
        <v>2</v>
      </c>
      <c r="Q12" s="7">
        <f>SUBTOTAL(103,Październik[15])</f>
        <v>2</v>
      </c>
      <c r="R12" s="7">
        <f>SUBTOTAL(103,Październik[16])</f>
        <v>2</v>
      </c>
      <c r="S12" s="7">
        <f>SUBTOTAL(103,Październik[17])</f>
        <v>0</v>
      </c>
      <c r="T12" s="7">
        <f>SUBTOTAL(103,Październik[18])</f>
        <v>0</v>
      </c>
      <c r="U12" s="7">
        <f>SUBTOTAL(103,Październik[19])</f>
        <v>0</v>
      </c>
      <c r="V12" s="7">
        <f>SUBTOTAL(103,Październik[20])</f>
        <v>0</v>
      </c>
      <c r="W12" s="7">
        <f>SUBTOTAL(103,Październik[21])</f>
        <v>0</v>
      </c>
      <c r="X12" s="7">
        <f>SUBTOTAL(103,Październik[22])</f>
        <v>0</v>
      </c>
      <c r="Y12" s="7">
        <f>SUBTOTAL(103,Październik[23])</f>
        <v>0</v>
      </c>
      <c r="Z12" s="7">
        <f>SUBTOTAL(103,Październik[24])</f>
        <v>0</v>
      </c>
      <c r="AA12" s="7">
        <f>SUBTOTAL(103,Październik[25])</f>
        <v>0</v>
      </c>
      <c r="AB12" s="7">
        <f>SUBTOTAL(103,Październik[26])</f>
        <v>0</v>
      </c>
      <c r="AC12" s="7">
        <f>SUBTOTAL(103,Październik[27])</f>
        <v>0</v>
      </c>
      <c r="AD12" s="7">
        <f>SUBTOTAL(103,Październik[28])</f>
        <v>0</v>
      </c>
      <c r="AE12" s="7">
        <f>SUBTOTAL(103,Październik[29])</f>
        <v>0</v>
      </c>
      <c r="AF12" s="7">
        <f>SUBTOTAL(103,Październik[30])</f>
        <v>0</v>
      </c>
      <c r="AG12" s="7">
        <f>SUBTOTAL(103,Październik[31])</f>
        <v>0</v>
      </c>
      <c r="AH12" s="7">
        <f>SUBTOTAL(109,Październik[Łączna liczba dni])</f>
        <v>32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14" priority="2" stopIfTrue="1">
      <formula>C7=Klucz_niestandardowy_2</formula>
    </cfRule>
    <cfRule type="expression" dxfId="13" priority="3" stopIfTrue="1">
      <formula>C7=Klucz_niestandardowy_1</formula>
    </cfRule>
    <cfRule type="expression" dxfId="12" priority="4" stopIfTrue="1">
      <formula>C7=Klucz_Zwolnienie_lekarskie</formula>
    </cfRule>
    <cfRule type="expression" dxfId="11" priority="5" stopIfTrue="1">
      <formula>C7=Klucz_Osobiste</formula>
    </cfRule>
    <cfRule type="expression" dxfId="10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dataValidations count="12"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900-000000000000}"/>
    <dataValidation allowBlank="1" showInputMessage="1" showErrorMessage="1" prompt="Automatycznie aktualizowany rok na podstawie roku wprowadzonego w arkuszu Styczeń." sqref="AH4" xr:uid="{00000000-0002-0000-0900-000001000000}"/>
    <dataValidation allowBlank="1" showInputMessage="1" showErrorMessage="1" prompt="Ta kolumna zawiera automatycznie obliczoną łączną liczbę dni nieobecności pracownika w danym miesiącu." sqref="AH6" xr:uid="{00000000-0002-0000-0900-000002000000}"/>
    <dataValidation allowBlank="1" showInputMessage="1" showErrorMessage="1" prompt="Za pomocą tego arkusza śledź nieobecności w październiku" sqref="A1" xr:uid="{00000000-0002-0000-0900-000003000000}"/>
    <dataValidation errorStyle="warning" allowBlank="1" showErrorMessage="1" error="Wybierz nazwisko z listy. Wybierz pozycję ANULUJ, a następnie naciśnij klawisze ALT+STRZAŁKA W DÓŁ i klawisz ENTER, aby wybrać nazwisko" sqref="B6" xr:uid="{00000000-0002-0000-09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900-000005000000}"/>
    <dataValidation allowBlank="1" showErrorMessage="1" sqref="B2:P2" xr:uid="{00000000-0002-0000-0900-000006000000}"/>
    <dataValidation allowBlank="1" showErrorMessage="1" prompt="Wprowadź literę i dostosuj etykietę po prawej, aby dodać kolejny element klucza." sqref="V2" xr:uid="{00000000-0002-0000-0900-000009000000}"/>
    <dataValidation allowBlank="1" showInputMessage="1" showErrorMessage="1" prompt="Miesiąc tego harmonogramu Prac . Zaktualizuj rok w komórce AH4. W ostatniej komórce tabeli są śledzone sumy dni prac  według miesiąca." sqref="B4" xr:uid="{00000000-0002-0000-09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900-00000D000000}"/>
    <dataValidation allowBlank="1" showInputMessage="1" showErrorMessage="1" prompt="Litera 'P' oznacza prace na polu" sqref="Q2" xr:uid="{133FD3E4-A819-4694-BBDC-E98F5B9C2B7F}"/>
    <dataValidation allowBlank="1" showErrorMessage="1" prompt="Wprowadź etykietę, aby opisać klucz niestandardowy po lewej stronie." sqref="R2:U2 W2:Z2" xr:uid="{87352943-9E44-4D06-A702-6A85CC4C5777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249977111117893"/>
    <pageSetUpPr fitToPage="1"/>
  </sheetPr>
  <dimension ref="B1:AL12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5"/>
      <c r="E2" s="25"/>
      <c r="F2" s="25"/>
      <c r="G2" s="26"/>
      <c r="H2" s="25"/>
      <c r="I2" s="25"/>
      <c r="J2" s="25"/>
      <c r="K2" s="27"/>
      <c r="L2" s="23"/>
      <c r="M2" s="23"/>
      <c r="N2" s="23"/>
      <c r="O2" s="23"/>
      <c r="P2" s="23"/>
      <c r="Q2" s="3" t="s">
        <v>52</v>
      </c>
      <c r="R2" s="23" t="s">
        <v>62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45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TEXT(WEEKDAY(DATE(Rok_kalendarzowy,11,1),1),"aaa")</f>
        <v>sob</v>
      </c>
      <c r="D5" s="2" t="str">
        <f>TEXT(WEEKDAY(DATE(Rok_kalendarzowy,11,2),1),"aaa")</f>
        <v>niedz</v>
      </c>
      <c r="E5" s="2" t="str">
        <f>TEXT(WEEKDAY(DATE(Rok_kalendarzowy,11,3),1),"aaa")</f>
        <v>pon</v>
      </c>
      <c r="F5" s="2" t="str">
        <f>TEXT(WEEKDAY(DATE(Rok_kalendarzowy,11,4),1),"aaa")</f>
        <v>wt</v>
      </c>
      <c r="G5" s="2" t="str">
        <f>TEXT(WEEKDAY(DATE(Rok_kalendarzowy,11,5),1),"aaa")</f>
        <v>śr</v>
      </c>
      <c r="H5" s="2" t="str">
        <f>TEXT(WEEKDAY(DATE(Rok_kalendarzowy,11,6),1),"aaa")</f>
        <v>czw</v>
      </c>
      <c r="I5" s="2" t="str">
        <f>TEXT(WEEKDAY(DATE(Rok_kalendarzowy,11,7),1),"aaa")</f>
        <v>pt</v>
      </c>
      <c r="J5" s="2" t="str">
        <f>TEXT(WEEKDAY(DATE(Rok_kalendarzowy,11,8),1),"aaa")</f>
        <v>sob</v>
      </c>
      <c r="K5" s="2" t="str">
        <f>TEXT(WEEKDAY(DATE(Rok_kalendarzowy,11,9),1),"aaa")</f>
        <v>niedz</v>
      </c>
      <c r="L5" s="2" t="str">
        <f>TEXT(WEEKDAY(DATE(Rok_kalendarzowy,11,10),1),"aaa")</f>
        <v>pon</v>
      </c>
      <c r="M5" s="2" t="str">
        <f>TEXT(WEEKDAY(DATE(Rok_kalendarzowy,11,11),1),"aaa")</f>
        <v>wt</v>
      </c>
      <c r="N5" s="2" t="str">
        <f>TEXT(WEEKDAY(DATE(Rok_kalendarzowy,11,12),1),"aaa")</f>
        <v>śr</v>
      </c>
      <c r="O5" s="2" t="str">
        <f>TEXT(WEEKDAY(DATE(Rok_kalendarzowy,11,13),1),"aaa")</f>
        <v>czw</v>
      </c>
      <c r="P5" s="2" t="str">
        <f>TEXT(WEEKDAY(DATE(Rok_kalendarzowy,11,14),1),"aaa")</f>
        <v>pt</v>
      </c>
      <c r="Q5" s="2" t="str">
        <f>TEXT(WEEKDAY(DATE(Rok_kalendarzowy,11,15),1),"aaa")</f>
        <v>sob</v>
      </c>
      <c r="R5" s="2" t="str">
        <f>TEXT(WEEKDAY(DATE(Rok_kalendarzowy,11,16),1),"aaa")</f>
        <v>niedz</v>
      </c>
      <c r="S5" s="2" t="str">
        <f>TEXT(WEEKDAY(DATE(Rok_kalendarzowy,11,17),1),"aaa")</f>
        <v>pon</v>
      </c>
      <c r="T5" s="2" t="str">
        <f>TEXT(WEEKDAY(DATE(Rok_kalendarzowy,11,18),1),"aaa")</f>
        <v>wt</v>
      </c>
      <c r="U5" s="2" t="str">
        <f>TEXT(WEEKDAY(DATE(Rok_kalendarzowy,11,19),1),"aaa")</f>
        <v>śr</v>
      </c>
      <c r="V5" s="2" t="str">
        <f>TEXT(WEEKDAY(DATE(Rok_kalendarzowy,11,20),1),"aaa")</f>
        <v>czw</v>
      </c>
      <c r="W5" s="2" t="str">
        <f>TEXT(WEEKDAY(DATE(Rok_kalendarzowy,11,21),1),"aaa")</f>
        <v>pt</v>
      </c>
      <c r="X5" s="2" t="str">
        <f>TEXT(WEEKDAY(DATE(Rok_kalendarzowy,11,22),1),"aaa")</f>
        <v>sob</v>
      </c>
      <c r="Y5" s="2" t="str">
        <f>TEXT(WEEKDAY(DATE(Rok_kalendarzowy,11,23),1),"aaa")</f>
        <v>niedz</v>
      </c>
      <c r="Z5" s="2" t="str">
        <f>TEXT(WEEKDAY(DATE(Rok_kalendarzowy,11,24),1),"aaa")</f>
        <v>pon</v>
      </c>
      <c r="AA5" s="2" t="str">
        <f>TEXT(WEEKDAY(DATE(Rok_kalendarzowy,11,25),1),"aaa")</f>
        <v>wt</v>
      </c>
      <c r="AB5" s="2" t="str">
        <f>TEXT(WEEKDAY(DATE(Rok_kalendarzowy,11,26),1),"aaa")</f>
        <v>śr</v>
      </c>
      <c r="AC5" s="2" t="str">
        <f>TEXT(WEEKDAY(DATE(Rok_kalendarzowy,11,27),1),"aaa")</f>
        <v>czw</v>
      </c>
      <c r="AD5" s="2" t="str">
        <f>TEXT(WEEKDAY(DATE(Rok_kalendarzowy,11,28),1),"aaa")</f>
        <v>pt</v>
      </c>
      <c r="AE5" s="2" t="str">
        <f>TEXT(WEEKDAY(DATE(Rok_kalendarzowy,11,29),1),"aaa")</f>
        <v>sob</v>
      </c>
      <c r="AF5" s="2" t="str">
        <f>TEXT(WEEKDAY(DATE(Rok_kalendarzowy,11,30),1),"aaa")</f>
        <v>niedz</v>
      </c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35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COUNTA(Listopad[[#This Row],[1]:[30]])</f>
        <v>0</v>
      </c>
      <c r="AJ7" s="20"/>
      <c r="AK7" s="20"/>
      <c r="AL7" s="20"/>
    </row>
    <row r="8" spans="2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COUNTA(Listopad[[#This Row],[1]:[30]])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COUNTA(Listopad[[#This Row],[1]:[30]])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COUNTA(Listopad[[#This Row],[1]:[30]])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COUNTA(Listopad[[#This Row],[1]:[30]])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Listopad</v>
      </c>
      <c r="C12" s="7">
        <f>SUBTOTAL(103,Listopad[1])</f>
        <v>0</v>
      </c>
      <c r="D12" s="7">
        <f>SUBTOTAL(103,Listopad[2])</f>
        <v>0</v>
      </c>
      <c r="E12" s="7">
        <f>SUBTOTAL(103,Listopad[3])</f>
        <v>0</v>
      </c>
      <c r="F12" s="7">
        <f>SUBTOTAL(103,Listopad[4])</f>
        <v>0</v>
      </c>
      <c r="G12" s="7">
        <f>SUBTOTAL(103,Listopad[5])</f>
        <v>0</v>
      </c>
      <c r="H12" s="7">
        <f>SUBTOTAL(103,Listopad[6])</f>
        <v>0</v>
      </c>
      <c r="I12" s="7">
        <f>SUBTOTAL(103,Listopad[7])</f>
        <v>0</v>
      </c>
      <c r="J12" s="7">
        <f>SUBTOTAL(103,Listopad[8])</f>
        <v>0</v>
      </c>
      <c r="K12" s="7">
        <f>SUBTOTAL(103,Listopad[9])</f>
        <v>0</v>
      </c>
      <c r="L12" s="7">
        <f>SUBTOTAL(103,Listopad[10])</f>
        <v>0</v>
      </c>
      <c r="M12" s="7">
        <f>SUBTOTAL(103,Listopad[11])</f>
        <v>0</v>
      </c>
      <c r="N12" s="7">
        <f>SUBTOTAL(103,Listopad[12])</f>
        <v>0</v>
      </c>
      <c r="O12" s="7">
        <f>SUBTOTAL(103,Listopad[13])</f>
        <v>0</v>
      </c>
      <c r="P12" s="7">
        <f>SUBTOTAL(103,Listopad[14])</f>
        <v>0</v>
      </c>
      <c r="Q12" s="7">
        <f>SUBTOTAL(103,Listopad[15])</f>
        <v>0</v>
      </c>
      <c r="R12" s="7">
        <f>SUBTOTAL(103,Listopad[16])</f>
        <v>0</v>
      </c>
      <c r="S12" s="7">
        <f>SUBTOTAL(103,Listopad[17])</f>
        <v>0</v>
      </c>
      <c r="T12" s="7">
        <f>SUBTOTAL(103,Listopad[18])</f>
        <v>0</v>
      </c>
      <c r="U12" s="7">
        <f>SUBTOTAL(103,Listopad[19])</f>
        <v>0</v>
      </c>
      <c r="V12" s="7">
        <f>SUBTOTAL(103,Listopad[20])</f>
        <v>0</v>
      </c>
      <c r="W12" s="7">
        <f>SUBTOTAL(103,Listopad[21])</f>
        <v>0</v>
      </c>
      <c r="X12" s="7">
        <f>SUBTOTAL(103,Listopad[22])</f>
        <v>0</v>
      </c>
      <c r="Y12" s="7">
        <f>SUBTOTAL(103,Listopad[23])</f>
        <v>0</v>
      </c>
      <c r="Z12" s="7">
        <f>SUBTOTAL(103,Listopad[24])</f>
        <v>0</v>
      </c>
      <c r="AA12" s="7">
        <f>SUBTOTAL(103,Listopad[25])</f>
        <v>0</v>
      </c>
      <c r="AB12" s="7">
        <f>SUBTOTAL(103,Listopad[26])</f>
        <v>0</v>
      </c>
      <c r="AC12" s="7">
        <f>SUBTOTAL(103,Listopad[27])</f>
        <v>0</v>
      </c>
      <c r="AD12" s="7">
        <f>SUBTOTAL(103,Listopad[28])</f>
        <v>0</v>
      </c>
      <c r="AE12" s="7">
        <f>SUBTOTAL(103,Listopad[29])</f>
        <v>0</v>
      </c>
      <c r="AF12" s="7">
        <f>SUBTOTAL(103,Listopad[30])</f>
        <v>0</v>
      </c>
      <c r="AG12" s="7">
        <f>SUBTOTAL(103,Listopad[[ ]])</f>
        <v>0</v>
      </c>
      <c r="AH12" s="7">
        <f>SUBTOTAL(109,Listopad[Łączna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9" priority="2" stopIfTrue="1">
      <formula>C7=Klucz_niestandardowy_2</formula>
    </cfRule>
    <cfRule type="expression" dxfId="8" priority="3" stopIfTrue="1">
      <formula>C7=Klucz_niestandardowy_1</formula>
    </cfRule>
    <cfRule type="expression" dxfId="7" priority="4" stopIfTrue="1">
      <formula>C7=Klucz_Zwolnienie_lekarskie</formula>
    </cfRule>
    <cfRule type="expression" dxfId="6" priority="5" stopIfTrue="1">
      <formula>C7=Klucz_Osobiste</formula>
    </cfRule>
    <cfRule type="expression" dxfId="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A00-000000000000}"/>
    <dataValidation allowBlank="1" showInputMessage="1" showErrorMessage="1" prompt="Miesiąc tego harmonogramu Prac . Zaktualizuj rok w komórce AH4. W ostatniej komórce tabeli są śledzone sumy dni prac  według miesiąca." sqref="B4" xr:uid="{00000000-0002-0000-0A00-000001000000}"/>
    <dataValidation allowBlank="1" showErrorMessage="1" sqref="B2:P2" xr:uid="{00000000-0002-0000-0A00-000002000000}"/>
    <dataValidation allowBlank="1" showErrorMessage="1" prompt="Wprowadź literę i dostosuj etykietę po prawej, aby dodać kolejny element klucza." sqref="V2" xr:uid="{00000000-0002-0000-0A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A00-000008000000}"/>
    <dataValidation errorStyle="warning" allowBlank="1" showErrorMessage="1" error="Wybierz nazwisko z listy. Wybierz pozycję ANULUJ, a następnie naciśnij klawisze ALT+STRZAŁKA W DÓŁ i klawisz ENTER, aby wybrać nazwisko" sqref="B6" xr:uid="{00000000-0002-0000-0A00-000009000000}"/>
    <dataValidation allowBlank="1" showInputMessage="1" showErrorMessage="1" prompt="Za pomocą tego arkusza śledź nieobecności w listopadzie" sqref="A1" xr:uid="{00000000-0002-0000-0A00-00000A000000}"/>
    <dataValidation allowBlank="1" showInputMessage="1" showErrorMessage="1" prompt="Ta kolumna zawiera automatycznie obliczoną łączną liczbę dni nieobecności pracownika w danym miesiącu." sqref="AH6" xr:uid="{00000000-0002-0000-0A00-00000B000000}"/>
    <dataValidation allowBlank="1" showInputMessage="1" showErrorMessage="1" prompt="Automatycznie aktualizowany rok na podstawie roku wprowadzonego w arkuszu Styczeń." sqref="AH4" xr:uid="{00000000-0002-0000-0A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A00-00000D000000}"/>
    <dataValidation allowBlank="1" showInputMessage="1" showErrorMessage="1" prompt="Litera 'P' oznacza prace na polu" sqref="Q2" xr:uid="{F3C7566C-F9EE-4CE2-8D84-5011F5B9052F}"/>
    <dataValidation allowBlank="1" showErrorMessage="1" prompt="Wprowadź etykietę, aby opisać klucz niestandardowy po lewej stronie." sqref="R2:U2 W2:Z2" xr:uid="{FE7A92A7-F8F7-441A-ACD3-07235F977558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  <pageSetUpPr fitToPage="1"/>
  </sheetPr>
  <dimension ref="B1:AL12"/>
  <sheetViews>
    <sheetView showGridLines="0" zoomScale="70" zoomScaleNormal="70" workbookViewId="0">
      <selection activeCell="AC1" sqref="AC1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5"/>
      <c r="E2" s="25"/>
      <c r="F2" s="25"/>
      <c r="G2" s="26"/>
      <c r="H2" s="25"/>
      <c r="I2" s="25"/>
      <c r="J2" s="25"/>
      <c r="K2" s="27"/>
      <c r="L2" s="25"/>
      <c r="M2" s="25"/>
      <c r="N2" s="25"/>
      <c r="O2" s="25"/>
      <c r="P2" s="25"/>
      <c r="Q2" s="3" t="s">
        <v>52</v>
      </c>
      <c r="R2" s="23" t="s">
        <v>62</v>
      </c>
      <c r="S2" s="23"/>
      <c r="T2" s="23"/>
      <c r="U2" s="23"/>
      <c r="V2" s="28"/>
      <c r="W2" s="25"/>
      <c r="X2" s="25"/>
      <c r="Y2" s="25"/>
      <c r="Z2" s="25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46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TEXT(WEEKDAY(DATE(Rok_kalendarzowy,12,1),1),"aaa")</f>
        <v>pon</v>
      </c>
      <c r="D5" s="2" t="str">
        <f>TEXT(WEEKDAY(DATE(Rok_kalendarzowy,12,2),1),"aaa")</f>
        <v>wt</v>
      </c>
      <c r="E5" s="2" t="str">
        <f>TEXT(WEEKDAY(DATE(Rok_kalendarzowy,12,3),1),"aaa")</f>
        <v>śr</v>
      </c>
      <c r="F5" s="2" t="str">
        <f>TEXT(WEEKDAY(DATE(Rok_kalendarzowy,12,4),1),"aaa")</f>
        <v>czw</v>
      </c>
      <c r="G5" s="2" t="str">
        <f>TEXT(WEEKDAY(DATE(Rok_kalendarzowy,12,5),1),"aaa")</f>
        <v>pt</v>
      </c>
      <c r="H5" s="2" t="str">
        <f>TEXT(WEEKDAY(DATE(Rok_kalendarzowy,12,6),1),"aaa")</f>
        <v>sob</v>
      </c>
      <c r="I5" s="2" t="str">
        <f>TEXT(WEEKDAY(DATE(Rok_kalendarzowy,12,7),1),"aaa")</f>
        <v>niedz</v>
      </c>
      <c r="J5" s="2" t="str">
        <f>TEXT(WEEKDAY(DATE(Rok_kalendarzowy,12,8),1),"aaa")</f>
        <v>pon</v>
      </c>
      <c r="K5" s="2" t="str">
        <f>TEXT(WEEKDAY(DATE(Rok_kalendarzowy,12,9),1),"aaa")</f>
        <v>wt</v>
      </c>
      <c r="L5" s="2" t="str">
        <f>TEXT(WEEKDAY(DATE(Rok_kalendarzowy,12,10),1),"aaa")</f>
        <v>śr</v>
      </c>
      <c r="M5" s="2" t="str">
        <f>TEXT(WEEKDAY(DATE(Rok_kalendarzowy,12,11),1),"aaa")</f>
        <v>czw</v>
      </c>
      <c r="N5" s="2" t="str">
        <f>TEXT(WEEKDAY(DATE(Rok_kalendarzowy,12,12),1),"aaa")</f>
        <v>pt</v>
      </c>
      <c r="O5" s="2" t="str">
        <f>TEXT(WEEKDAY(DATE(Rok_kalendarzowy,12,13),1),"aaa")</f>
        <v>sob</v>
      </c>
      <c r="P5" s="2" t="str">
        <f>TEXT(WEEKDAY(DATE(Rok_kalendarzowy,12,14),1),"aaa")</f>
        <v>niedz</v>
      </c>
      <c r="Q5" s="2" t="str">
        <f>TEXT(WEEKDAY(DATE(Rok_kalendarzowy,12,15),1),"aaa")</f>
        <v>pon</v>
      </c>
      <c r="R5" s="2" t="str">
        <f>TEXT(WEEKDAY(DATE(Rok_kalendarzowy,12,16),1),"aaa")</f>
        <v>wt</v>
      </c>
      <c r="S5" s="2" t="str">
        <f>TEXT(WEEKDAY(DATE(Rok_kalendarzowy,12,17),1),"aaa")</f>
        <v>śr</v>
      </c>
      <c r="T5" s="2" t="str">
        <f>TEXT(WEEKDAY(DATE(Rok_kalendarzowy,12,18),1),"aaa")</f>
        <v>czw</v>
      </c>
      <c r="U5" s="2" t="str">
        <f>TEXT(WEEKDAY(DATE(Rok_kalendarzowy,12,19),1),"aaa")</f>
        <v>pt</v>
      </c>
      <c r="V5" s="2" t="str">
        <f>TEXT(WEEKDAY(DATE(Rok_kalendarzowy,12,20),1),"aaa")</f>
        <v>sob</v>
      </c>
      <c r="W5" s="2" t="str">
        <f>TEXT(WEEKDAY(DATE(Rok_kalendarzowy,12,21),1),"aaa")</f>
        <v>niedz</v>
      </c>
      <c r="X5" s="2" t="str">
        <f>TEXT(WEEKDAY(DATE(Rok_kalendarzowy,12,22),1),"aaa")</f>
        <v>pon</v>
      </c>
      <c r="Y5" s="2" t="str">
        <f>TEXT(WEEKDAY(DATE(Rok_kalendarzowy,12,23),1),"aaa")</f>
        <v>wt</v>
      </c>
      <c r="Z5" s="2" t="str">
        <f>TEXT(WEEKDAY(DATE(Rok_kalendarzowy,12,24),1),"aaa")</f>
        <v>śr</v>
      </c>
      <c r="AA5" s="2" t="str">
        <f>TEXT(WEEKDAY(DATE(Rok_kalendarzowy,12,25),1),"aaa")</f>
        <v>czw</v>
      </c>
      <c r="AB5" s="2" t="str">
        <f>TEXT(WEEKDAY(DATE(Rok_kalendarzowy,12,26),1),"aaa")</f>
        <v>pt</v>
      </c>
      <c r="AC5" s="2" t="str">
        <f>TEXT(WEEKDAY(DATE(Rok_kalendarzowy,12,27),1),"aaa")</f>
        <v>sob</v>
      </c>
      <c r="AD5" s="2" t="str">
        <f>TEXT(WEEKDAY(DATE(Rok_kalendarzowy,12,28),1),"aaa")</f>
        <v>niedz</v>
      </c>
      <c r="AE5" s="2" t="str">
        <f>TEXT(WEEKDAY(DATE(Rok_kalendarzowy,12,29),1),"aaa")</f>
        <v>pon</v>
      </c>
      <c r="AF5" s="2" t="str">
        <f>TEXT(WEEKDAY(DATE(Rok_kalendarzowy,12,30),1),"aaa")</f>
        <v>wt</v>
      </c>
      <c r="AG5" s="2" t="str">
        <f>TEXT(WEEKDAY(DATE(Rok_kalendarzowy,12,31),1),"aaa")</f>
        <v>śr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COUNTA(Grudzień[[#This Row],[1]:[31]])</f>
        <v>0</v>
      </c>
      <c r="AJ7" s="20"/>
      <c r="AK7" s="20"/>
      <c r="AL7" s="20"/>
    </row>
    <row r="8" spans="2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COUNTA(Grudzień[[#This Row],[1]:[31]])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COUNTA(Grudzień[[#This Row],[1]:[31]])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COUNTA(Grudzień[[#This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COUNTA(Grudzień[[#This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Grudzień</v>
      </c>
      <c r="C12" s="7">
        <f>SUBTOTAL(103,Grudzień[1])</f>
        <v>0</v>
      </c>
      <c r="D12" s="7">
        <f>SUBTOTAL(103,Grudzień[2])</f>
        <v>0</v>
      </c>
      <c r="E12" s="7">
        <f>SUBTOTAL(103,Grudzień[3])</f>
        <v>0</v>
      </c>
      <c r="F12" s="7">
        <f>SUBTOTAL(103,Grudzień[4])</f>
        <v>0</v>
      </c>
      <c r="G12" s="7">
        <f>SUBTOTAL(103,Grudzień[5])</f>
        <v>0</v>
      </c>
      <c r="H12" s="7">
        <f>SUBTOTAL(103,Grudzień[6])</f>
        <v>0</v>
      </c>
      <c r="I12" s="7">
        <f>SUBTOTAL(103,Grudzień[7])</f>
        <v>0</v>
      </c>
      <c r="J12" s="7">
        <f>SUBTOTAL(103,Grudzień[8])</f>
        <v>0</v>
      </c>
      <c r="K12" s="7">
        <f>SUBTOTAL(103,Grudzień[9])</f>
        <v>0</v>
      </c>
      <c r="L12" s="7">
        <f>SUBTOTAL(103,Grudzień[10])</f>
        <v>0</v>
      </c>
      <c r="M12" s="7">
        <f>SUBTOTAL(103,Grudzień[11])</f>
        <v>0</v>
      </c>
      <c r="N12" s="7">
        <f>SUBTOTAL(103,Grudzień[12])</f>
        <v>0</v>
      </c>
      <c r="O12" s="7">
        <f>SUBTOTAL(103,Grudzień[13])</f>
        <v>0</v>
      </c>
      <c r="P12" s="7">
        <f>SUBTOTAL(103,Grudzień[14])</f>
        <v>0</v>
      </c>
      <c r="Q12" s="7">
        <f>SUBTOTAL(103,Grudzień[15])</f>
        <v>0</v>
      </c>
      <c r="R12" s="7">
        <f>SUBTOTAL(103,Grudzień[16])</f>
        <v>0</v>
      </c>
      <c r="S12" s="7">
        <f>SUBTOTAL(103,Grudzień[17])</f>
        <v>0</v>
      </c>
      <c r="T12" s="7">
        <f>SUBTOTAL(103,Grudzień[18])</f>
        <v>0</v>
      </c>
      <c r="U12" s="7">
        <f>SUBTOTAL(103,Grudzień[19])</f>
        <v>0</v>
      </c>
      <c r="V12" s="7">
        <f>SUBTOTAL(103,Grudzień[20])</f>
        <v>0</v>
      </c>
      <c r="W12" s="7">
        <f>SUBTOTAL(103,Grudzień[21])</f>
        <v>0</v>
      </c>
      <c r="X12" s="7">
        <f>SUBTOTAL(103,Grudzień[22])</f>
        <v>0</v>
      </c>
      <c r="Y12" s="7">
        <f>SUBTOTAL(103,Grudzień[23])</f>
        <v>0</v>
      </c>
      <c r="Z12" s="7">
        <f>SUBTOTAL(103,Grudzień[24])</f>
        <v>0</v>
      </c>
      <c r="AA12" s="7">
        <f>SUBTOTAL(103,Grudzień[25])</f>
        <v>0</v>
      </c>
      <c r="AB12" s="7">
        <f>SUBTOTAL(103,Grudzień[26])</f>
        <v>0</v>
      </c>
      <c r="AC12" s="7">
        <f>SUBTOTAL(103,Grudzień[27])</f>
        <v>0</v>
      </c>
      <c r="AD12" s="7">
        <f>SUBTOTAL(103,Grudzień[28])</f>
        <v>0</v>
      </c>
      <c r="AE12" s="7">
        <f>SUBTOTAL(103,Grudzień[29])</f>
        <v>0</v>
      </c>
      <c r="AF12" s="7">
        <f>SUBTOTAL(103,Grudzień[30])</f>
        <v>0</v>
      </c>
      <c r="AG12" s="7">
        <f>SUBTOTAL(103,Grudzień[31])</f>
        <v>0</v>
      </c>
      <c r="AH12" s="7">
        <f>SUBTOTAL(109,Grudzień[Łączna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4" priority="2" stopIfTrue="1">
      <formula>C7=Klucz_niestandardowy_2</formula>
    </cfRule>
    <cfRule type="expression" dxfId="3" priority="3" stopIfTrue="1">
      <formula>C7=Klucz_niestandardowy_1</formula>
    </cfRule>
    <cfRule type="expression" dxfId="2" priority="4" stopIfTrue="1">
      <formula>C7=Klucz_Zwolnienie_lekarskie</formula>
    </cfRule>
    <cfRule type="expression" dxfId="1" priority="5" stopIfTrue="1">
      <formula>C7=Klucz_Osobiste</formula>
    </cfRule>
    <cfRule type="expression" dxfId="0" priority="6" stopIfTrue="1">
      <formula>C7=Klucz_Urlop</formula>
    </cfRule>
  </conditionalFormatting>
  <conditionalFormatting sqref="AH7:AH11">
    <cfRule type="dataBar" priority="30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dataValidations count="12">
    <dataValidation allowBlank="1" showInputMessage="1" showErrorMessage="1" prompt="Automatycznie aktualizowany rok na podstawie roku wprowadzonego w arkuszu Styczeń." sqref="AH4" xr:uid="{00000000-0002-0000-0B00-000000000000}"/>
    <dataValidation allowBlank="1" showInputMessage="1" showErrorMessage="1" prompt="Ta kolumna zawiera automatycznie obliczoną łączną liczbę dni nieobecności pracownika w danym miesiącu." sqref="AH6" xr:uid="{00000000-0002-0000-0B00-000001000000}"/>
    <dataValidation allowBlank="1" showInputMessage="1" showErrorMessage="1" prompt="Za pomocą tego arkusza śledź nieobecności w grudniu" sqref="A1" xr:uid="{00000000-0002-0000-0B00-000002000000}"/>
    <dataValidation errorStyle="warning" allowBlank="1" showErrorMessage="1" error="Wybierz nazwisko z listy. Wybierz pozycję ANULUJ, a następnie naciśnij klawisze ALT+STRZAŁKA W DÓŁ i klawisz ENTER, aby wybrać nazwisko" sqref="B6" xr:uid="{00000000-0002-0000-0B00-000003000000}"/>
    <dataValidation allowBlank="1" showInputMessage="1" showErrorMessage="1" prompt="W tej komórce znajduje się tytuł aktualizowany automatycznie. Aby zmodyfikować tytuł, zaktualizuj komórkę B1 w arkuszu Styczeń" sqref="B1" xr:uid="{00000000-0002-0000-0B00-000004000000}"/>
    <dataValidation allowBlank="1" showErrorMessage="1" sqref="B2:P2" xr:uid="{00000000-0002-0000-0B00-000005000000}"/>
    <dataValidation allowBlank="1" showErrorMessage="1" prompt="Wprowadź literę i dostosuj etykietę po prawej, aby dodać kolejny element klucza." sqref="V2" xr:uid="{00000000-0002-0000-0B00-000008000000}"/>
    <dataValidation allowBlank="1" showInputMessage="1" showErrorMessage="1" prompt="Miesiąc tego harmonogramu Prac . Zaktualizuj rok w komórce AH4. W ostatniej komórce tabeli są śledzone sumy dni prac  według miesiąca." sqref="B4" xr:uid="{00000000-0002-0000-0B00-00000B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B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B00-00000D000000}"/>
    <dataValidation allowBlank="1" showInputMessage="1" showErrorMessage="1" prompt="Litera 'P' oznacza prace na polu" sqref="Q2" xr:uid="{F3BA2D6F-D717-4690-B238-22EE1117C79E}"/>
    <dataValidation allowBlank="1" showErrorMessage="1" prompt="Wprowadź etykietę, aby opisać klucz niestandardowy po lewej stronie." sqref="R2:U2 W2:Z2" xr:uid="{AE40D30D-FD14-4186-B3E4-9A916F0FE034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B1:Z17"/>
  <sheetViews>
    <sheetView showGridLines="0" topLeftCell="A9" workbookViewId="0">
      <selection activeCell="B15" sqref="B15"/>
    </sheetView>
  </sheetViews>
  <sheetFormatPr defaultRowHeight="30" customHeight="1" x14ac:dyDescent="0.35"/>
  <cols>
    <col min="1" max="1" width="2.7265625" customWidth="1"/>
    <col min="2" max="2" width="30.7265625" customWidth="1"/>
    <col min="3" max="3" width="2.7265625" customWidth="1"/>
  </cols>
  <sheetData>
    <row r="1" spans="2:26" ht="50.15" customHeight="1" x14ac:dyDescent="0.35">
      <c r="B1" s="15" t="s">
        <v>55</v>
      </c>
      <c r="F1" s="21" t="e" vm="2">
        <v>#VALUE!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2:26" ht="15" customHeight="1" x14ac:dyDescent="0.35"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2:26" ht="30" customHeight="1" x14ac:dyDescent="0.35">
      <c r="B3" s="18" t="s">
        <v>60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2:26" ht="30" customHeight="1" x14ac:dyDescent="0.35">
      <c r="B4" s="1" t="s">
        <v>47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2:26" ht="30" customHeight="1" x14ac:dyDescent="0.35">
      <c r="B5" s="1" t="s">
        <v>58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2:26" ht="30" customHeight="1" x14ac:dyDescent="0.35">
      <c r="B6" s="1" t="s">
        <v>49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2:26" ht="30" customHeight="1" x14ac:dyDescent="0.35">
      <c r="B7" s="1" t="s">
        <v>50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2:26" ht="30" customHeight="1" x14ac:dyDescent="0.35">
      <c r="B8" s="1" t="s">
        <v>51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2:26" ht="30" customHeight="1" x14ac:dyDescent="0.35">
      <c r="B9" s="1" t="s">
        <v>57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2:26" ht="30" customHeight="1" x14ac:dyDescent="0.35">
      <c r="B10" s="1" t="s">
        <v>59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2:26" ht="30" customHeight="1" x14ac:dyDescent="0.35">
      <c r="B11" s="1" t="s">
        <v>48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2:26" ht="30" customHeight="1" x14ac:dyDescent="0.35">
      <c r="B12" s="1" t="s">
        <v>64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2:26" ht="30" customHeight="1" x14ac:dyDescent="0.35">
      <c r="B13" s="1" t="s">
        <v>61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2:26" ht="30" customHeight="1" x14ac:dyDescent="0.35">
      <c r="B14" s="1" t="s">
        <v>65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2:26" ht="30" customHeight="1" x14ac:dyDescent="0.35"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2:26" ht="30" customHeight="1" x14ac:dyDescent="0.35"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6:26" ht="30" customHeight="1" x14ac:dyDescent="0.35"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</sheetData>
  <mergeCells count="1">
    <mergeCell ref="F1:Z17"/>
  </mergeCells>
  <dataValidations count="3">
    <dataValidation allowBlank="1" showInputMessage="1" showErrorMessage="1" prompt="Tytuł Nazwiska pracowników" sqref="B1" xr:uid="{00000000-0002-0000-0C00-000000000000}"/>
    <dataValidation allowBlank="1" showInputMessage="1" showErrorMessage="1" prompt="W tym arkuszu wprowadź nazwiska pracowników w tabeli Nazwiska pracowników. Te nazwiska są używane jako opcje w kolumnie B w tabeli nieobecności dla każdego miesiąca" sqref="A1" xr:uid="{00000000-0002-0000-0C00-000001000000}"/>
    <dataValidation allowBlank="1" showInputMessage="1" showErrorMessage="1" prompt="W tej kolumnie wprowadź nazwiska pracowników" sqref="B3" xr:uid="{00000000-0002-0000-0C00-000002000000}"/>
  </dataValidations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fitToPage="1"/>
  </sheetPr>
  <dimension ref="B1:AL18"/>
  <sheetViews>
    <sheetView showGridLines="0" zoomScale="70" zoomScaleNormal="70" workbookViewId="0">
      <selection activeCell="AA1" sqref="AA1"/>
    </sheetView>
  </sheetViews>
  <sheetFormatPr defaultColWidth="9.1796875"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19"/>
      <c r="D2" s="25"/>
      <c r="E2" s="25"/>
      <c r="F2" s="25"/>
      <c r="G2" s="26"/>
      <c r="H2" s="25"/>
      <c r="I2" s="25"/>
      <c r="J2" s="25"/>
      <c r="K2" s="27"/>
      <c r="L2" s="23"/>
      <c r="M2" s="23"/>
      <c r="N2" s="23"/>
      <c r="O2" s="23"/>
      <c r="P2" s="23"/>
      <c r="Q2" s="3" t="s">
        <v>52</v>
      </c>
      <c r="R2" s="23" t="s">
        <v>53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AJ3" s="21"/>
      <c r="AK3" s="21"/>
      <c r="AL3" s="21"/>
    </row>
    <row r="4" spans="2:38" ht="30" customHeight="1" x14ac:dyDescent="0.35">
      <c r="B4" s="6" t="s">
        <v>34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  <c r="AJ4" s="20"/>
      <c r="AK4" s="20"/>
      <c r="AL4" s="20"/>
    </row>
    <row r="5" spans="2:38" ht="15" customHeight="1" x14ac:dyDescent="0.35">
      <c r="B5" s="6"/>
      <c r="C5" s="2" t="str">
        <f>TEXT(WEEKDAY(DATE(Rok_kalendarzowy,2,1),1),"aaa")</f>
        <v>sob</v>
      </c>
      <c r="D5" s="2" t="str">
        <f>TEXT(WEEKDAY(DATE(Rok_kalendarzowy,2,2),1),"aaa")</f>
        <v>niedz</v>
      </c>
      <c r="E5" s="2" t="str">
        <f>TEXT(WEEKDAY(DATE(Rok_kalendarzowy,2,3),1),"aaa")</f>
        <v>pon</v>
      </c>
      <c r="F5" s="2" t="str">
        <f>TEXT(WEEKDAY(DATE(Rok_kalendarzowy,2,4),1),"aaa")</f>
        <v>wt</v>
      </c>
      <c r="G5" s="2" t="str">
        <f>TEXT(WEEKDAY(DATE(Rok_kalendarzowy,2,5),1),"aaa")</f>
        <v>śr</v>
      </c>
      <c r="H5" s="2" t="str">
        <f>TEXT(WEEKDAY(DATE(Rok_kalendarzowy,2,6),1),"aaa")</f>
        <v>czw</v>
      </c>
      <c r="I5" s="2" t="str">
        <f>TEXT(WEEKDAY(DATE(Rok_kalendarzowy,2,7),1),"aaa")</f>
        <v>pt</v>
      </c>
      <c r="J5" s="2" t="str">
        <f>TEXT(WEEKDAY(DATE(Rok_kalendarzowy,2,8),1),"aaa")</f>
        <v>sob</v>
      </c>
      <c r="K5" s="2" t="str">
        <f>TEXT(WEEKDAY(DATE(Rok_kalendarzowy,2,9),1),"aaa")</f>
        <v>niedz</v>
      </c>
      <c r="L5" s="2" t="str">
        <f>TEXT(WEEKDAY(DATE(Rok_kalendarzowy,2,10),1),"aaa")</f>
        <v>pon</v>
      </c>
      <c r="M5" s="2" t="str">
        <f>TEXT(WEEKDAY(DATE(Rok_kalendarzowy,2,11),1),"aaa")</f>
        <v>wt</v>
      </c>
      <c r="N5" s="2" t="str">
        <f>TEXT(WEEKDAY(DATE(Rok_kalendarzowy,2,12),1),"aaa")</f>
        <v>śr</v>
      </c>
      <c r="O5" s="2" t="str">
        <f>TEXT(WEEKDAY(DATE(Rok_kalendarzowy,2,13),1),"aaa")</f>
        <v>czw</v>
      </c>
      <c r="P5" s="2" t="str">
        <f>TEXT(WEEKDAY(DATE(Rok_kalendarzowy,2,14),1),"aaa")</f>
        <v>pt</v>
      </c>
      <c r="Q5" s="2" t="str">
        <f>TEXT(WEEKDAY(DATE(Rok_kalendarzowy,2,15),1),"aaa")</f>
        <v>sob</v>
      </c>
      <c r="R5" s="2" t="str">
        <f>TEXT(WEEKDAY(DATE(Rok_kalendarzowy,2,16),1),"aaa")</f>
        <v>niedz</v>
      </c>
      <c r="S5" s="2" t="str">
        <f>TEXT(WEEKDAY(DATE(Rok_kalendarzowy,2,17),1),"aaa")</f>
        <v>pon</v>
      </c>
      <c r="T5" s="2" t="str">
        <f>TEXT(WEEKDAY(DATE(Rok_kalendarzowy,2,18),1),"aaa")</f>
        <v>wt</v>
      </c>
      <c r="U5" s="2" t="str">
        <f>TEXT(WEEKDAY(DATE(Rok_kalendarzowy,2,19),1),"aaa")</f>
        <v>śr</v>
      </c>
      <c r="V5" s="2" t="str">
        <f>TEXT(WEEKDAY(DATE(Rok_kalendarzowy,2,20),1),"aaa")</f>
        <v>czw</v>
      </c>
      <c r="W5" s="2" t="str">
        <f>TEXT(WEEKDAY(DATE(Rok_kalendarzowy,2,21),1),"aaa")</f>
        <v>pt</v>
      </c>
      <c r="X5" s="2" t="str">
        <f>TEXT(WEEKDAY(DATE(Rok_kalendarzowy,2,22),1),"aaa")</f>
        <v>sob</v>
      </c>
      <c r="Y5" s="2" t="str">
        <f>TEXT(WEEKDAY(DATE(Rok_kalendarzowy,2,23),1),"aaa")</f>
        <v>niedz</v>
      </c>
      <c r="Z5" s="2" t="str">
        <f>TEXT(WEEKDAY(DATE(Rok_kalendarzowy,2,24),1),"aaa")</f>
        <v>pon</v>
      </c>
      <c r="AA5" s="2" t="str">
        <f>TEXT(WEEKDAY(DATE(Rok_kalendarzowy,2,25),1),"aaa")</f>
        <v>wt</v>
      </c>
      <c r="AB5" s="2" t="str">
        <f>TEXT(WEEKDAY(DATE(Rok_kalendarzowy,2,26),1),"aaa")</f>
        <v>śr</v>
      </c>
      <c r="AC5" s="2" t="str">
        <f>TEXT(WEEKDAY(DATE(Rok_kalendarzowy,2,27),1),"aaa")</f>
        <v>czw</v>
      </c>
      <c r="AD5" s="2" t="str">
        <f>TEXT(WEEKDAY(DATE(Rok_kalendarzowy,2,28),1),"aaa")</f>
        <v>pt</v>
      </c>
      <c r="AE5" s="2" t="str">
        <f>TEXT(WEEKDAY(DATE(Rok_kalendarzowy,2,29),1),"aaa")</f>
        <v>sob</v>
      </c>
      <c r="AF5" s="2"/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35</v>
      </c>
      <c r="AG6" s="2" t="s">
        <v>36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COUNTA(Luty[[#This Row],[1]:[29]])</f>
        <v>0</v>
      </c>
      <c r="AJ7" s="20"/>
      <c r="AK7" s="20"/>
      <c r="AL7" s="20"/>
    </row>
    <row r="8" spans="2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COUNTA(Luty[[#This Row],[1]:[29]])</f>
        <v>0</v>
      </c>
      <c r="AJ8" s="20"/>
      <c r="AK8" s="20"/>
      <c r="AL8" s="20"/>
    </row>
    <row r="9" spans="2:38" ht="30" customHeight="1" x14ac:dyDescent="0.35">
      <c r="B9" s="4" t="s">
        <v>61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COUNTA(Luty[[#This Row],[1]:[29]])</f>
        <v>0</v>
      </c>
      <c r="AJ9" s="20"/>
      <c r="AK9" s="20"/>
      <c r="AL9" s="20"/>
    </row>
    <row r="10" spans="2:38" ht="30" customHeight="1" x14ac:dyDescent="0.35">
      <c r="B10" s="4" t="s">
        <v>61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COUNTA(Luty[[#This Row],[1]:[29]])</f>
        <v>0</v>
      </c>
      <c r="AJ10" s="20"/>
      <c r="AK10" s="20"/>
      <c r="AL10" s="20"/>
    </row>
    <row r="11" spans="2:38" ht="30" customHeight="1" x14ac:dyDescent="0.35">
      <c r="B11" s="4" t="s">
        <v>61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COUNTA(Luty[[#This Row],[1]:[29]])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Luty</v>
      </c>
      <c r="C12" s="7">
        <f>SUBTOTAL(103,Luty[1])</f>
        <v>0</v>
      </c>
      <c r="D12" s="7">
        <f>SUBTOTAL(103,Luty[2])</f>
        <v>0</v>
      </c>
      <c r="E12" s="7">
        <f>SUBTOTAL(103,Luty[3])</f>
        <v>0</v>
      </c>
      <c r="F12" s="7">
        <f>SUBTOTAL(103,Luty[4])</f>
        <v>0</v>
      </c>
      <c r="G12" s="7">
        <f>SUBTOTAL(103,Luty[5])</f>
        <v>0</v>
      </c>
      <c r="H12" s="7">
        <f>SUBTOTAL(103,Luty[6])</f>
        <v>0</v>
      </c>
      <c r="I12" s="7">
        <f>SUBTOTAL(103,Luty[7])</f>
        <v>0</v>
      </c>
      <c r="J12" s="7">
        <f>SUBTOTAL(103,Luty[8])</f>
        <v>0</v>
      </c>
      <c r="K12" s="7">
        <f>SUBTOTAL(103,Luty[9])</f>
        <v>0</v>
      </c>
      <c r="L12" s="7">
        <f>SUBTOTAL(103,Luty[10])</f>
        <v>0</v>
      </c>
      <c r="M12" s="7">
        <f>SUBTOTAL(103,Luty[11])</f>
        <v>0</v>
      </c>
      <c r="N12" s="7">
        <f>SUBTOTAL(103,Luty[12])</f>
        <v>0</v>
      </c>
      <c r="O12" s="7">
        <f>SUBTOTAL(103,Luty[13])</f>
        <v>0</v>
      </c>
      <c r="P12" s="7">
        <f>SUBTOTAL(103,Luty[14])</f>
        <v>0</v>
      </c>
      <c r="Q12" s="7">
        <f>SUBTOTAL(103,Luty[15])</f>
        <v>0</v>
      </c>
      <c r="R12" s="7">
        <f>SUBTOTAL(103,Luty[16])</f>
        <v>0</v>
      </c>
      <c r="S12" s="7">
        <f>SUBTOTAL(103,Luty[17])</f>
        <v>0</v>
      </c>
      <c r="T12" s="7">
        <f>SUBTOTAL(103,Luty[18])</f>
        <v>0</v>
      </c>
      <c r="U12" s="7">
        <f>SUBTOTAL(103,Luty[19])</f>
        <v>0</v>
      </c>
      <c r="V12" s="7">
        <f>SUBTOTAL(103,Luty[20])</f>
        <v>0</v>
      </c>
      <c r="W12" s="7">
        <f>SUBTOTAL(103,Luty[21])</f>
        <v>0</v>
      </c>
      <c r="X12" s="7">
        <f>SUBTOTAL(103,Luty[22])</f>
        <v>0</v>
      </c>
      <c r="Y12" s="7">
        <f>SUBTOTAL(103,Luty[23])</f>
        <v>0</v>
      </c>
      <c r="Z12" s="7">
        <f>SUBTOTAL(103,Luty[24])</f>
        <v>0</v>
      </c>
      <c r="AA12" s="7">
        <f>SUBTOTAL(103,Luty[25])</f>
        <v>0</v>
      </c>
      <c r="AB12" s="7">
        <f>SUBTOTAL(103,Luty[26])</f>
        <v>0</v>
      </c>
      <c r="AC12" s="7">
        <f>SUBTOTAL(103,Luty[27])</f>
        <v>0</v>
      </c>
      <c r="AD12" s="7">
        <f>SUBTOTAL(103,Luty[28])</f>
        <v>0</v>
      </c>
      <c r="AE12" s="7">
        <f>SUBTOTAL(103,Luty[29])</f>
        <v>0</v>
      </c>
      <c r="AF12" s="7"/>
      <c r="AG12" s="7"/>
      <c r="AH12" s="7">
        <f>SUBTOTAL(109,Luty[Łączna liczba dni])</f>
        <v>0</v>
      </c>
      <c r="AJ12" s="20"/>
      <c r="AK12" s="20"/>
      <c r="AL12" s="20"/>
    </row>
    <row r="13" spans="2:38" ht="30" customHeight="1" x14ac:dyDescent="0.35">
      <c r="AJ13" s="20"/>
      <c r="AK13" s="20"/>
      <c r="AL13" s="20"/>
    </row>
    <row r="14" spans="2:38" ht="30" customHeight="1" x14ac:dyDescent="0.35">
      <c r="AJ14" s="20"/>
      <c r="AK14" s="20"/>
      <c r="AL14" s="20"/>
    </row>
    <row r="15" spans="2:38" ht="30" customHeight="1" x14ac:dyDescent="0.35">
      <c r="AJ15" s="20"/>
      <c r="AK15" s="20"/>
      <c r="AL15" s="20"/>
    </row>
    <row r="16" spans="2:38" ht="30" customHeight="1" x14ac:dyDescent="0.35">
      <c r="AJ16" s="20"/>
      <c r="AK16" s="20"/>
      <c r="AL16" s="20"/>
    </row>
    <row r="17" spans="36:38" ht="30" customHeight="1" x14ac:dyDescent="0.35">
      <c r="AJ17" s="20"/>
      <c r="AK17" s="20"/>
      <c r="AL17" s="20"/>
    </row>
    <row r="18" spans="36:38" ht="30" customHeight="1" x14ac:dyDescent="0.35">
      <c r="AJ18" s="20"/>
      <c r="AK18" s="20"/>
      <c r="AL18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2" stopIfTrue="1">
      <formula>C7=""</formula>
    </cfRule>
    <cfRule type="expression" dxfId="56" priority="3" stopIfTrue="1">
      <formula>C7=Klucz_niestandardowy_2</formula>
    </cfRule>
    <cfRule type="expression" dxfId="55" priority="5" stopIfTrue="1">
      <formula>C7=Klucz_niestandardowy_1</formula>
    </cfRule>
    <cfRule type="expression" dxfId="54" priority="6" stopIfTrue="1">
      <formula>C7=Klucz_Zwolnienie_lekarskie</formula>
    </cfRule>
    <cfRule type="expression" dxfId="53" priority="7" stopIfTrue="1">
      <formula>C7=Klucz_Osobiste</formula>
    </cfRule>
    <cfRule type="expression" dxfId="52" priority="8" stopIfTrue="1">
      <formula>C7=Klucz_Urlop</formula>
    </cfRule>
  </conditionalFormatting>
  <conditionalFormatting sqref="AE5">
    <cfRule type="expression" dxfId="51" priority="15">
      <formula>MONTH(DATE(Rok_kalendarzowy,2,29))&lt;&gt;2</formula>
    </cfRule>
  </conditionalFormatting>
  <conditionalFormatting sqref="AE6">
    <cfRule type="expression" dxfId="50" priority="16">
      <formula>MONTH(DATE(Rok_kalendarzowy,2,29))&lt;&gt;2</formula>
    </cfRule>
  </conditionalFormatting>
  <conditionalFormatting sqref="AH7:AH11">
    <cfRule type="dataBar" priority="153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dataValidations xWindow="232" yWindow="365" count="13">
    <dataValidation allowBlank="1" showInputMessage="1" showErrorMessage="1" prompt="Automatycznie aktualizowany rok na podstawie roku wprowadzonego w arkuszu Styczeń." sqref="AH4" xr:uid="{00000000-0002-0000-0100-000000000000}"/>
    <dataValidation allowBlank="1" showInputMessage="1" showErrorMessage="1" prompt="Za pomocą tego arkusza śledź nieobecności w lutym." sqref="A1" xr:uid="{00000000-0002-0000-0100-000001000000}"/>
    <dataValidation allowBlank="1" showInputMessage="1" showErrorMessage="1" prompt="Ta kolumna zawiera automatycznie obliczoną łączną liczbę dni nieobecności pracownika w danym miesiącu" sqref="AH6" xr:uid="{00000000-0002-0000-0100-000002000000}"/>
    <dataValidation allowBlank="1" showInputMessage="1" showErrorMessage="1" prompt="W tej komórce znajduje się tytuł aktualizowany automatycznie. Aby zmodyfikować tytuł, zaktualizuj komórkę B1 w arkuszu Styczeń" sqref="B1" xr:uid="{00000000-0002-0000-0100-000003000000}"/>
    <dataValidation allowBlank="1" showInputMessage="1" showErrorMessage="1" prompt="Miesiąc tego harmonogramu Prac . Zaktualizuj rok w komórce AH4. W ostatniej komórce tabeli są śledzone sumy dni prac  według miesiąca." sqref="B4" xr:uid="{00000000-0002-0000-0100-000004000000}"/>
    <dataValidation errorStyle="warning" allowBlank="1" showErrorMessage="1" error="Wybierz nazwisko z listy. Wybierz pozycję ANULUJ, a następnie naciśnij klawisze ALT+STRZAŁKA W DÓŁ i klawisz ENTER, aby wybrać nazwisko" sqref="B6" xr:uid="{00000000-0002-0000-0100-000005000000}"/>
    <dataValidation allowBlank="1" showErrorMessage="1" sqref="B2 R2:U2 G2 K2" xr:uid="{00000000-0002-0000-0100-000006000000}"/>
    <dataValidation allowBlank="1" showErrorMessage="1" prompt="Wprowadź literę i dostosuj etykietę po prawej, aby dodać kolejny element klucza." sqref="V2" xr:uid="{00000000-0002-0000-0100-000008000000}"/>
    <dataValidation allowBlank="1" showInputMessage="1" showErrorMessage="1" prompt="Litera „U” oznacza nieobecność ze względu na urlop" sqref="C2" xr:uid="{00000000-0002-0000-0100-00000B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1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100-00000D000000}"/>
    <dataValidation allowBlank="1" showInputMessage="1" showErrorMessage="1" prompt="Litera 'P' oznacza prace na polu" sqref="Q2" xr:uid="{98B5B753-718D-45DC-A798-5F57896A7CC3}"/>
    <dataValidation allowBlank="1" showErrorMessage="1" prompt="Wprowadź etykietę, aby opisać klucz niestandardowy po lewej stronie." sqref="W2:Z2" xr:uid="{A7CA4BE5-D07D-4144-829D-F0B53B1486E5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232" yWindow="365" count="1">
        <x14:dataValidation type="list" allowBlank="1" showInputMessage="1" showErrorMessage="1" xr:uid="{00000000-0002-0000-01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  <pageSetUpPr fitToPage="1"/>
  </sheetPr>
  <dimension ref="B1:AL12"/>
  <sheetViews>
    <sheetView showGridLines="0" zoomScale="70" zoomScaleNormal="70" workbookViewId="0">
      <selection activeCell="I9" sqref="I9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5"/>
      <c r="E2" s="25"/>
      <c r="F2" s="25"/>
      <c r="G2" s="26"/>
      <c r="H2" s="25"/>
      <c r="I2" s="25"/>
      <c r="J2" s="25"/>
      <c r="K2" s="27"/>
      <c r="L2" s="23"/>
      <c r="M2" s="23"/>
      <c r="N2" s="23"/>
      <c r="O2" s="23"/>
      <c r="P2" s="23"/>
      <c r="Q2" s="3" t="s">
        <v>52</v>
      </c>
      <c r="R2" s="23" t="s">
        <v>53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37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TEXT(WEEKDAY(DATE(Rok_kalendarzowy,3,1),1),"aaa")</f>
        <v>sob</v>
      </c>
      <c r="D5" s="2" t="str">
        <f>TEXT(WEEKDAY(DATE(Rok_kalendarzowy,3,2),1),"aaa")</f>
        <v>niedz</v>
      </c>
      <c r="E5" s="2" t="str">
        <f>TEXT(WEEKDAY(DATE(Rok_kalendarzowy,3,3),1),"aaa")</f>
        <v>pon</v>
      </c>
      <c r="F5" s="2" t="str">
        <f>TEXT(WEEKDAY(DATE(Rok_kalendarzowy,3,4),1),"aaa")</f>
        <v>wt</v>
      </c>
      <c r="G5" s="2" t="str">
        <f>TEXT(WEEKDAY(DATE(Rok_kalendarzowy,3,5),1),"aaa")</f>
        <v>śr</v>
      </c>
      <c r="H5" s="2" t="str">
        <f>TEXT(WEEKDAY(DATE(Rok_kalendarzowy,3,6),1),"aaa")</f>
        <v>czw</v>
      </c>
      <c r="I5" s="2" t="str">
        <f>TEXT(WEEKDAY(DATE(Rok_kalendarzowy,3,7),1),"aaa")</f>
        <v>pt</v>
      </c>
      <c r="J5" s="2" t="str">
        <f>TEXT(WEEKDAY(DATE(Rok_kalendarzowy,3,8),1),"aaa")</f>
        <v>sob</v>
      </c>
      <c r="K5" s="2" t="str">
        <f>TEXT(WEEKDAY(DATE(Rok_kalendarzowy,3,9),1),"aaa")</f>
        <v>niedz</v>
      </c>
      <c r="L5" s="2" t="str">
        <f>TEXT(WEEKDAY(DATE(Rok_kalendarzowy,3,10),1),"aaa")</f>
        <v>pon</v>
      </c>
      <c r="M5" s="2" t="str">
        <f>TEXT(WEEKDAY(DATE(Rok_kalendarzowy,3,11),1),"aaa")</f>
        <v>wt</v>
      </c>
      <c r="N5" s="2" t="str">
        <f>TEXT(WEEKDAY(DATE(Rok_kalendarzowy,3,12),1),"aaa")</f>
        <v>śr</v>
      </c>
      <c r="O5" s="2" t="str">
        <f>TEXT(WEEKDAY(DATE(Rok_kalendarzowy,3,13),1),"aaa")</f>
        <v>czw</v>
      </c>
      <c r="P5" s="2" t="str">
        <f>TEXT(WEEKDAY(DATE(Rok_kalendarzowy,3,14),1),"aaa")</f>
        <v>pt</v>
      </c>
      <c r="Q5" s="2" t="str">
        <f>TEXT(WEEKDAY(DATE(Rok_kalendarzowy,3,15),1),"aaa")</f>
        <v>sob</v>
      </c>
      <c r="R5" s="2" t="str">
        <f>TEXT(WEEKDAY(DATE(Rok_kalendarzowy,3,16),1),"aaa")</f>
        <v>niedz</v>
      </c>
      <c r="S5" s="2" t="str">
        <f>TEXT(WEEKDAY(DATE(Rok_kalendarzowy,3,17),1),"aaa")</f>
        <v>pon</v>
      </c>
      <c r="T5" s="2" t="str">
        <f>TEXT(WEEKDAY(DATE(Rok_kalendarzowy,3,18),1),"aaa")</f>
        <v>wt</v>
      </c>
      <c r="U5" s="2" t="str">
        <f>TEXT(WEEKDAY(DATE(Rok_kalendarzowy,3,19),1),"aaa")</f>
        <v>śr</v>
      </c>
      <c r="V5" s="2" t="str">
        <f>TEXT(WEEKDAY(DATE(Rok_kalendarzowy,3,20),1),"aaa")</f>
        <v>czw</v>
      </c>
      <c r="W5" s="2" t="str">
        <f>TEXT(WEEKDAY(DATE(Rok_kalendarzowy,3,21),1),"aaa")</f>
        <v>pt</v>
      </c>
      <c r="X5" s="2" t="str">
        <f>TEXT(WEEKDAY(DATE(Rok_kalendarzowy,3,22),1),"aaa")</f>
        <v>sob</v>
      </c>
      <c r="Y5" s="2" t="str">
        <f>TEXT(WEEKDAY(DATE(Rok_kalendarzowy,3,23),1),"aaa")</f>
        <v>niedz</v>
      </c>
      <c r="Z5" s="2" t="str">
        <f>TEXT(WEEKDAY(DATE(Rok_kalendarzowy,3,24),1),"aaa")</f>
        <v>pon</v>
      </c>
      <c r="AA5" s="2" t="str">
        <f>TEXT(WEEKDAY(DATE(Rok_kalendarzowy,3,25),1),"aaa")</f>
        <v>wt</v>
      </c>
      <c r="AB5" s="2" t="str">
        <f>TEXT(WEEKDAY(DATE(Rok_kalendarzowy,3,26),1),"aaa")</f>
        <v>śr</v>
      </c>
      <c r="AC5" s="2" t="str">
        <f>TEXT(WEEKDAY(DATE(Rok_kalendarzowy,3,27),1),"aaa")</f>
        <v>czw</v>
      </c>
      <c r="AD5" s="2" t="str">
        <f>TEXT(WEEKDAY(DATE(Rok_kalendarzowy,3,28),1),"aaa")</f>
        <v>pt</v>
      </c>
      <c r="AE5" s="2" t="str">
        <f>TEXT(WEEKDAY(DATE(Rok_kalendarzowy,3,29),1),"aaa")</f>
        <v>sob</v>
      </c>
      <c r="AF5" s="2" t="str">
        <f>TEXT(WEEKDAY(DATE(Rok_kalendarzowy,3,30),1),"aaa")</f>
        <v>niedz</v>
      </c>
      <c r="AG5" s="2" t="str">
        <f>TEXT(WEEKDAY(DATE(Rok_kalendarzowy,3,31),1),"aaa")</f>
        <v>pon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COUNTA(Marzec[[#This Row],[1]:[31]])</f>
        <v>0</v>
      </c>
      <c r="AJ7" s="20"/>
      <c r="AK7" s="20"/>
      <c r="AL7" s="20"/>
    </row>
    <row r="8" spans="2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COUNTA(Marzec[[#This Row],[1]:[31]])</f>
        <v>0</v>
      </c>
      <c r="AJ8" s="20"/>
      <c r="AK8" s="20"/>
      <c r="AL8" s="20"/>
    </row>
    <row r="9" spans="2:38" ht="30" customHeight="1" x14ac:dyDescent="0.35">
      <c r="B9" s="4" t="s">
        <v>61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COUNTA(Marzec[[#This Row],[1]:[31]])</f>
        <v>0</v>
      </c>
    </row>
    <row r="10" spans="2:38" ht="30" customHeight="1" x14ac:dyDescent="0.35">
      <c r="B10" s="4" t="s">
        <v>61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COUNTA(Marzec[[#This Row],[1]:[31]])</f>
        <v>0</v>
      </c>
      <c r="AJ10" s="20"/>
      <c r="AK10" s="20"/>
      <c r="AL10" s="20"/>
    </row>
    <row r="11" spans="2:38" ht="30" customHeight="1" x14ac:dyDescent="0.35">
      <c r="B11" s="4" t="s">
        <v>61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COUNTA(Marzec[[#This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Marzec</v>
      </c>
      <c r="C12" s="7">
        <f>SUBTOTAL(103,Marzec[1])</f>
        <v>0</v>
      </c>
      <c r="D12" s="7">
        <f>SUBTOTAL(103,Marzec[2])</f>
        <v>0</v>
      </c>
      <c r="E12" s="7">
        <f>SUBTOTAL(103,Marzec[3])</f>
        <v>0</v>
      </c>
      <c r="F12" s="7">
        <f>SUBTOTAL(103,Marzec[4])</f>
        <v>0</v>
      </c>
      <c r="G12" s="7">
        <f>SUBTOTAL(103,Marzec[5])</f>
        <v>0</v>
      </c>
      <c r="H12" s="7">
        <f>SUBTOTAL(103,Marzec[6])</f>
        <v>0</v>
      </c>
      <c r="I12" s="7">
        <f>SUBTOTAL(103,Marzec[7])</f>
        <v>0</v>
      </c>
      <c r="J12" s="7">
        <f>SUBTOTAL(103,Marzec[8])</f>
        <v>0</v>
      </c>
      <c r="K12" s="7">
        <f>SUBTOTAL(103,Marzec[9])</f>
        <v>0</v>
      </c>
      <c r="L12" s="7">
        <f>SUBTOTAL(103,Marzec[10])</f>
        <v>0</v>
      </c>
      <c r="M12" s="7">
        <f>SUBTOTAL(103,Marzec[11])</f>
        <v>0</v>
      </c>
      <c r="N12" s="7">
        <f>SUBTOTAL(103,Marzec[12])</f>
        <v>0</v>
      </c>
      <c r="O12" s="7">
        <f>SUBTOTAL(103,Marzec[13])</f>
        <v>0</v>
      </c>
      <c r="P12" s="7">
        <f>SUBTOTAL(103,Marzec[14])</f>
        <v>0</v>
      </c>
      <c r="Q12" s="7">
        <f>SUBTOTAL(103,Marzec[15])</f>
        <v>0</v>
      </c>
      <c r="R12" s="7">
        <f>SUBTOTAL(103,Marzec[16])</f>
        <v>0</v>
      </c>
      <c r="S12" s="7">
        <f>SUBTOTAL(103,Marzec[17])</f>
        <v>0</v>
      </c>
      <c r="T12" s="7">
        <f>SUBTOTAL(103,Marzec[18])</f>
        <v>0</v>
      </c>
      <c r="U12" s="7">
        <f>SUBTOTAL(103,Marzec[19])</f>
        <v>0</v>
      </c>
      <c r="V12" s="7">
        <f>SUBTOTAL(103,Marzec[20])</f>
        <v>0</v>
      </c>
      <c r="W12" s="7">
        <f>SUBTOTAL(103,Marzec[21])</f>
        <v>0</v>
      </c>
      <c r="X12" s="7">
        <f>SUBTOTAL(103,Marzec[22])</f>
        <v>0</v>
      </c>
      <c r="Y12" s="7">
        <f>SUBTOTAL(103,Marzec[23])</f>
        <v>0</v>
      </c>
      <c r="Z12" s="7">
        <f>SUBTOTAL(103,Marzec[24])</f>
        <v>0</v>
      </c>
      <c r="AA12" s="7">
        <f>SUBTOTAL(103,Marzec[25])</f>
        <v>0</v>
      </c>
      <c r="AB12" s="7">
        <f>SUBTOTAL(103,Marzec[26])</f>
        <v>0</v>
      </c>
      <c r="AC12" s="7">
        <f>SUBTOTAL(103,Marzec[27])</f>
        <v>0</v>
      </c>
      <c r="AD12" s="7">
        <f>SUBTOTAL(103,Marzec[28])</f>
        <v>0</v>
      </c>
      <c r="AE12" s="7">
        <f>SUBTOTAL(103,Marzec[29])</f>
        <v>0</v>
      </c>
      <c r="AF12" s="7">
        <f>SUBTOTAL(103,Marzec[30])</f>
        <v>0</v>
      </c>
      <c r="AG12" s="7">
        <f>SUBTOTAL(103,Marzec[31])</f>
        <v>0</v>
      </c>
      <c r="AH12" s="7">
        <f>SUBTOTAL(109,Marzec[Łączna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49" priority="2" stopIfTrue="1">
      <formula>C7=Klucz_niestandardowy_2</formula>
    </cfRule>
    <cfRule type="expression" dxfId="48" priority="3" stopIfTrue="1">
      <formula>C7=Klucz_niestandardowy_1</formula>
    </cfRule>
    <cfRule type="expression" dxfId="47" priority="4" stopIfTrue="1">
      <formula>C7=Klucz_Zwolnienie_lekarskie</formula>
    </cfRule>
    <cfRule type="expression" dxfId="46" priority="5" stopIfTrue="1">
      <formula>C7=Klucz_Osobiste</formula>
    </cfRule>
    <cfRule type="expression" dxfId="4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200-000000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200-000001000000}"/>
    <dataValidation allowBlank="1" showInputMessage="1" showErrorMessage="1" prompt="Miesiąc tego harmonogramu Prac . Zaktualizuj rok w komórce AH4. W ostatniej komórce tabeli są śledzone sumy dni prac  według miesiąca." sqref="B4" xr:uid="{00000000-0002-0000-0200-000002000000}"/>
    <dataValidation allowBlank="1" showErrorMessage="1" sqref="B2:C2 G2 K2" xr:uid="{00000000-0002-0000-0200-000003000000}"/>
    <dataValidation allowBlank="1" showErrorMessage="1" prompt="Wprowadź literę i dostosuj etykietę po prawej, aby dodać kolejny element klucza." sqref="V2" xr:uid="{00000000-0002-0000-0200-000005000000}"/>
    <dataValidation allowBlank="1" showInputMessage="1" showErrorMessage="1" prompt="W tej komórce znajduje się tytuł aktualizowany automatycznie. Aby zmodyfikować tytuł, zaktualizuj komórkę B1 w arkuszu Styczeń" sqref="B1" xr:uid="{00000000-0002-0000-0200-000009000000}"/>
    <dataValidation errorStyle="warning" allowBlank="1" showErrorMessage="1" error="Wybierz nazwisko z listy. Wybierz pozycję ANULUJ, a następnie naciśnij klawisze ALT+STRZAŁKA W DÓŁ i klawisz ENTER, aby wybrać nazwisko" sqref="B6" xr:uid="{00000000-0002-0000-0200-00000A000000}"/>
    <dataValidation allowBlank="1" showInputMessage="1" showErrorMessage="1" prompt="Za pomocą tego arkusza śledź nieobecności w marcu" sqref="A1" xr:uid="{00000000-0002-0000-0200-00000B000000}"/>
    <dataValidation allowBlank="1" showInputMessage="1" showErrorMessage="1" prompt="Ta kolumna zawiera automatycznie obliczoną łączną liczbę dni nieobecności pracownika w danym miesiącu." sqref="AH6" xr:uid="{00000000-0002-0000-0200-00000C000000}"/>
    <dataValidation allowBlank="1" showInputMessage="1" showErrorMessage="1" prompt="Automatycznie aktualizowany rok na podstawie roku wprowadzonego w arkuszu Styczeń." sqref="AH4" xr:uid="{00000000-0002-0000-0200-00000D000000}"/>
    <dataValidation allowBlank="1" showInputMessage="1" showErrorMessage="1" prompt="Litera 'P' oznacza prace na polu" sqref="Q2" xr:uid="{3CD441E3-AB7E-48C9-B2CB-0D61A375B225}"/>
    <dataValidation allowBlank="1" showErrorMessage="1" prompt="Wprowadź etykietę, aby opisać klucz niestandardowy po lewej stronie." sqref="R2:U2 W2:Z2" xr:uid="{16F436D9-1A60-4E1D-B83E-E28E63A1F5C3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B1:AL12"/>
  <sheetViews>
    <sheetView showGridLines="0" zoomScale="70" zoomScaleNormal="70" workbookViewId="0">
      <selection activeCell="L11" sqref="L11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5"/>
      <c r="E2" s="25"/>
      <c r="F2" s="25"/>
      <c r="G2" s="26"/>
      <c r="H2" s="25"/>
      <c r="I2" s="25"/>
      <c r="J2" s="25"/>
      <c r="K2" s="27"/>
      <c r="L2" s="23"/>
      <c r="M2" s="23"/>
      <c r="N2" s="23"/>
      <c r="O2" s="23"/>
      <c r="P2" s="23"/>
      <c r="Q2" s="3" t="s">
        <v>52</v>
      </c>
      <c r="R2" s="23" t="s">
        <v>53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38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TEXT(WEEKDAY(DATE(Rok_kalendarzowy,4,1),1),"aaa")</f>
        <v>wt</v>
      </c>
      <c r="D5" s="2" t="str">
        <f>TEXT(WEEKDAY(DATE(Rok_kalendarzowy,4,2),1),"aaa")</f>
        <v>śr</v>
      </c>
      <c r="E5" s="2" t="str">
        <f>TEXT(WEEKDAY(DATE(Rok_kalendarzowy,4,3),1),"aaa")</f>
        <v>czw</v>
      </c>
      <c r="F5" s="2" t="str">
        <f>TEXT(WEEKDAY(DATE(Rok_kalendarzowy,4,4),1),"aaa")</f>
        <v>pt</v>
      </c>
      <c r="G5" s="2" t="str">
        <f>TEXT(WEEKDAY(DATE(Rok_kalendarzowy,4,5),1),"aaa")</f>
        <v>sob</v>
      </c>
      <c r="H5" s="2" t="str">
        <f>TEXT(WEEKDAY(DATE(Rok_kalendarzowy,4,6),1),"aaa")</f>
        <v>niedz</v>
      </c>
      <c r="I5" s="2" t="str">
        <f>TEXT(WEEKDAY(DATE(Rok_kalendarzowy,4,7),1),"aaa")</f>
        <v>pon</v>
      </c>
      <c r="J5" s="2" t="str">
        <f>TEXT(WEEKDAY(DATE(Rok_kalendarzowy,4,8),1),"aaa")</f>
        <v>wt</v>
      </c>
      <c r="K5" s="2" t="str">
        <f>TEXT(WEEKDAY(DATE(Rok_kalendarzowy,4,9),1),"aaa")</f>
        <v>śr</v>
      </c>
      <c r="L5" s="2" t="str">
        <f>TEXT(WEEKDAY(DATE(Rok_kalendarzowy,4,10),1),"aaa")</f>
        <v>czw</v>
      </c>
      <c r="M5" s="2" t="str">
        <f>TEXT(WEEKDAY(DATE(Rok_kalendarzowy,4,11),1),"aaa")</f>
        <v>pt</v>
      </c>
      <c r="N5" s="2" t="str">
        <f>TEXT(WEEKDAY(DATE(Rok_kalendarzowy,4,12),1),"aaa")</f>
        <v>sob</v>
      </c>
      <c r="O5" s="2" t="str">
        <f>TEXT(WEEKDAY(DATE(Rok_kalendarzowy,4,13),1),"aaa")</f>
        <v>niedz</v>
      </c>
      <c r="P5" s="2" t="str">
        <f>TEXT(WEEKDAY(DATE(Rok_kalendarzowy,4,14),1),"aaa")</f>
        <v>pon</v>
      </c>
      <c r="Q5" s="2" t="str">
        <f>TEXT(WEEKDAY(DATE(Rok_kalendarzowy,4,15),1),"aaa")</f>
        <v>wt</v>
      </c>
      <c r="R5" s="2" t="str">
        <f>TEXT(WEEKDAY(DATE(Rok_kalendarzowy,4,16),1),"aaa")</f>
        <v>śr</v>
      </c>
      <c r="S5" s="2" t="str">
        <f>TEXT(WEEKDAY(DATE(Rok_kalendarzowy,4,17),1),"aaa")</f>
        <v>czw</v>
      </c>
      <c r="T5" s="2" t="str">
        <f>TEXT(WEEKDAY(DATE(Rok_kalendarzowy,4,18),1),"aaa")</f>
        <v>pt</v>
      </c>
      <c r="U5" s="2" t="str">
        <f>TEXT(WEEKDAY(DATE(Rok_kalendarzowy,4,19),1),"aaa")</f>
        <v>sob</v>
      </c>
      <c r="V5" s="2" t="str">
        <f>TEXT(WEEKDAY(DATE(Rok_kalendarzowy,4,20),1),"aaa")</f>
        <v>niedz</v>
      </c>
      <c r="W5" s="2" t="str">
        <f>TEXT(WEEKDAY(DATE(Rok_kalendarzowy,4,21),1),"aaa")</f>
        <v>pon</v>
      </c>
      <c r="X5" s="2" t="str">
        <f>TEXT(WEEKDAY(DATE(Rok_kalendarzowy,4,22),1),"aaa")</f>
        <v>wt</v>
      </c>
      <c r="Y5" s="2" t="str">
        <f>TEXT(WEEKDAY(DATE(Rok_kalendarzowy,4,23),1),"aaa")</f>
        <v>śr</v>
      </c>
      <c r="Z5" s="2" t="str">
        <f>TEXT(WEEKDAY(DATE(Rok_kalendarzowy,4,24),1),"aaa")</f>
        <v>czw</v>
      </c>
      <c r="AA5" s="2" t="str">
        <f>TEXT(WEEKDAY(DATE(Rok_kalendarzowy,4,25),1),"aaa")</f>
        <v>pt</v>
      </c>
      <c r="AB5" s="2" t="str">
        <f>TEXT(WEEKDAY(DATE(Rok_kalendarzowy,4,26),1),"aaa")</f>
        <v>sob</v>
      </c>
      <c r="AC5" s="2" t="str">
        <f>TEXT(WEEKDAY(DATE(Rok_kalendarzowy,4,27),1),"aaa")</f>
        <v>niedz</v>
      </c>
      <c r="AD5" s="2" t="str">
        <f>TEXT(WEEKDAY(DATE(Rok_kalendarzowy,4,28),1),"aaa")</f>
        <v>pon</v>
      </c>
      <c r="AE5" s="2" t="str">
        <f>TEXT(WEEKDAY(DATE(Rok_kalendarzowy,4,29),1),"aaa")</f>
        <v>wt</v>
      </c>
      <c r="AF5" s="2" t="str">
        <f>TEXT(WEEKDAY(DATE(Rok_kalendarzowy,4,30),1),"aaa")</f>
        <v>śr</v>
      </c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16" t="s">
        <v>35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COUNTA(Kwiecień[[#This Row],[1]:[30]])</f>
        <v>0</v>
      </c>
      <c r="AJ7" s="20"/>
      <c r="AK7" s="20"/>
      <c r="AL7" s="20"/>
    </row>
    <row r="8" spans="2:38" ht="30" customHeight="1" x14ac:dyDescent="0.35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COUNTA(Kwiecień[[#This Row],[1]:[30]])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COUNTA(Kwiecień[[#This Row],[1]:[30]])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COUNTA(Kwiecień[[#This Row],[1]:[30]])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COUNTA(Kwiecień[[#This Row],[1]:[30]])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Kwiecień</v>
      </c>
      <c r="C12" s="7">
        <f>SUBTOTAL(103,Kwiecień[1])</f>
        <v>0</v>
      </c>
      <c r="D12" s="7">
        <f>SUBTOTAL(103,Kwiecień[2])</f>
        <v>0</v>
      </c>
      <c r="E12" s="7">
        <f>SUBTOTAL(103,Kwiecień[3])</f>
        <v>0</v>
      </c>
      <c r="F12" s="7">
        <f>SUBTOTAL(103,Kwiecień[4])</f>
        <v>0</v>
      </c>
      <c r="G12" s="7">
        <f>SUBTOTAL(103,Kwiecień[5])</f>
        <v>0</v>
      </c>
      <c r="H12" s="7">
        <f>SUBTOTAL(103,Kwiecień[6])</f>
        <v>0</v>
      </c>
      <c r="I12" s="7">
        <f>SUBTOTAL(103,Kwiecień[7])</f>
        <v>0</v>
      </c>
      <c r="J12" s="7">
        <f>SUBTOTAL(103,Kwiecień[8])</f>
        <v>0</v>
      </c>
      <c r="K12" s="7">
        <f>SUBTOTAL(103,Kwiecień[9])</f>
        <v>0</v>
      </c>
      <c r="L12" s="7">
        <f>SUBTOTAL(103,Kwiecień[10])</f>
        <v>0</v>
      </c>
      <c r="M12" s="7">
        <f>SUBTOTAL(103,Kwiecień[11])</f>
        <v>0</v>
      </c>
      <c r="N12" s="7">
        <f>SUBTOTAL(103,Kwiecień[12])</f>
        <v>0</v>
      </c>
      <c r="O12" s="7">
        <f>SUBTOTAL(103,Kwiecień[13])</f>
        <v>0</v>
      </c>
      <c r="P12" s="7">
        <f>SUBTOTAL(103,Kwiecień[14])</f>
        <v>0</v>
      </c>
      <c r="Q12" s="7">
        <f>SUBTOTAL(103,Kwiecień[15])</f>
        <v>0</v>
      </c>
      <c r="R12" s="7">
        <f>SUBTOTAL(103,Kwiecień[16])</f>
        <v>0</v>
      </c>
      <c r="S12" s="7">
        <f>SUBTOTAL(103,Kwiecień[17])</f>
        <v>0</v>
      </c>
      <c r="T12" s="7">
        <f>SUBTOTAL(103,Kwiecień[18])</f>
        <v>0</v>
      </c>
      <c r="U12" s="7">
        <f>SUBTOTAL(103,Kwiecień[19])</f>
        <v>0</v>
      </c>
      <c r="V12" s="7">
        <f>SUBTOTAL(103,Kwiecień[20])</f>
        <v>0</v>
      </c>
      <c r="W12" s="7">
        <f>SUBTOTAL(103,Kwiecień[21])</f>
        <v>0</v>
      </c>
      <c r="X12" s="7">
        <f>SUBTOTAL(103,Kwiecień[22])</f>
        <v>0</v>
      </c>
      <c r="Y12" s="7">
        <f>SUBTOTAL(103,Kwiecień[23])</f>
        <v>0</v>
      </c>
      <c r="Z12" s="7">
        <f>SUBTOTAL(103,Kwiecień[24])</f>
        <v>0</v>
      </c>
      <c r="AA12" s="7">
        <f>SUBTOTAL(103,Kwiecień[25])</f>
        <v>0</v>
      </c>
      <c r="AB12" s="7">
        <f>SUBTOTAL(103,Kwiecień[26])</f>
        <v>0</v>
      </c>
      <c r="AC12" s="7">
        <f>SUBTOTAL(103,Kwiecień[27])</f>
        <v>0</v>
      </c>
      <c r="AD12" s="7">
        <f>SUBTOTAL(103,Kwiecień[28])</f>
        <v>0</v>
      </c>
      <c r="AE12" s="7">
        <f>SUBTOTAL(103,Kwiecień[29])</f>
        <v>0</v>
      </c>
      <c r="AF12" s="7">
        <f>SUBTOTAL(103,Kwiecień[30])</f>
        <v>0</v>
      </c>
      <c r="AG12" s="7">
        <f>SUBTOTAL(103,Kwiecień[30])</f>
        <v>0</v>
      </c>
      <c r="AH12" s="7">
        <f>SUBTOTAL(109,Kwiecień[Łączna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44" priority="2" stopIfTrue="1">
      <formula>C7=Klucz_niestandardowy_2</formula>
    </cfRule>
    <cfRule type="expression" dxfId="43" priority="3" stopIfTrue="1">
      <formula>C7=Klucz_niestandardowy_1</formula>
    </cfRule>
    <cfRule type="expression" dxfId="42" priority="4" stopIfTrue="1">
      <formula>C7=Klucz_Zwolnienie_lekarskie</formula>
    </cfRule>
    <cfRule type="expression" dxfId="41" priority="5" stopIfTrue="1">
      <formula>C7=Klucz_Osobiste</formula>
    </cfRule>
    <cfRule type="expression" dxfId="40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{0C86709F-D813-4066-A3F1-C30F11214F4B}</x14:id>
        </ext>
      </extLst>
    </cfRule>
  </conditionalFormatting>
  <dataValidations count="13">
    <dataValidation allowBlank="1" showInputMessage="1" showErrorMessage="1" prompt="Automatycznie aktualizowany rok na podstawie roku wprowadzonego w arkuszu Styczeń." sqref="AH4" xr:uid="{00000000-0002-0000-0300-000000000000}"/>
    <dataValidation allowBlank="1" showInputMessage="1" showErrorMessage="1" prompt="Ta kolumna zawiera automatycznie obliczoną łączną liczbę dni nieobecności pracownika w danym miesiącu." sqref="AH6" xr:uid="{00000000-0002-0000-0300-000001000000}"/>
    <dataValidation allowBlank="1" showInputMessage="1" showErrorMessage="1" prompt="Za pomocą tego arkusza śledź nieobecności w kwietniu" sqref="A1" xr:uid="{00000000-0002-0000-0300-000002000000}"/>
    <dataValidation errorStyle="warning" allowBlank="1" showErrorMessage="1" error="Wybierz nazwisko z listy. Wybierz pozycję ANULUJ, a następnie naciśnij klawisze ALT+STRZAŁKA W DÓŁ i klawisz ENTER, aby wybrać nazwisko" sqref="B6" xr:uid="{00000000-0002-0000-0300-000003000000}"/>
    <dataValidation allowBlank="1" showInputMessage="1" showErrorMessage="1" prompt="W tej komórce znajduje się tytuł aktualizowany automatycznie. Aby zmodyfikować tytuł, zaktualizuj komórkę B1 w arkuszu Styczeń" sqref="B1" xr:uid="{00000000-0002-0000-0300-000004000000}"/>
    <dataValidation allowBlank="1" showErrorMessage="1" sqref="B2:C2 K2 G2" xr:uid="{00000000-0002-0000-0300-000005000000}"/>
    <dataValidation allowBlank="1" showErrorMessage="1" prompt="Wprowadź literę i dostosuj etykietę po prawej, aby dodać kolejny element klucza." sqref="V2" xr:uid="{00000000-0002-0000-0300-000008000000}"/>
    <dataValidation allowBlank="1" showInputMessage="1" showErrorMessage="1" prompt="Wprowadź etykietę, aby opisać klucz niestandardowy po lewej stronie." sqref="R2" xr:uid="{00000000-0002-0000-0300-000009000000}"/>
    <dataValidation allowBlank="1" showInputMessage="1" showErrorMessage="1" prompt="Miesiąc tego harmonogramu Prac . Zaktualizuj rok w komórce AH4. W ostatniej komórce tabeli są śledzone sumy dni prac  według miesiąca." sqref="B4" xr:uid="{00000000-0002-0000-0300-00000B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3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300-00000D000000}"/>
    <dataValidation allowBlank="1" showInputMessage="1" showErrorMessage="1" prompt="Litera 'P' oznacza prace na polu" sqref="Q2" xr:uid="{FAA5D26D-5D46-4A4A-B851-69FB2A22649A}"/>
    <dataValidation allowBlank="1" showErrorMessage="1" prompt="Wprowadź etykietę, aby opisać klucz niestandardowy po lewej stronie." sqref="W2:Z2" xr:uid="{45831573-82F2-4517-97D1-1B191644B47E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86709F-D813-4066-A3F1-C30F11214F4B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B1:AL12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5"/>
      <c r="E2" s="25"/>
      <c r="F2" s="25"/>
      <c r="G2" s="26"/>
      <c r="H2" s="25"/>
      <c r="I2" s="25"/>
      <c r="J2" s="25"/>
      <c r="K2" s="27"/>
      <c r="L2" s="25"/>
      <c r="M2" s="25"/>
      <c r="N2" s="25"/>
      <c r="O2" s="25"/>
      <c r="P2" s="25"/>
      <c r="Q2" s="3" t="s">
        <v>52</v>
      </c>
      <c r="R2" s="23" t="s">
        <v>62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39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TEXT(WEEKDAY(DATE(Rok_kalendarzowy,5,1),1),"aaa")</f>
        <v>czw</v>
      </c>
      <c r="D5" s="2" t="str">
        <f>TEXT(WEEKDAY(DATE(Rok_kalendarzowy,5,2),1),"aaa")</f>
        <v>pt</v>
      </c>
      <c r="E5" s="2" t="str">
        <f>TEXT(WEEKDAY(DATE(Rok_kalendarzowy,5,3),1),"aaa")</f>
        <v>sob</v>
      </c>
      <c r="F5" s="2" t="str">
        <f>TEXT(WEEKDAY(DATE(Rok_kalendarzowy,5,4),1),"aaa")</f>
        <v>niedz</v>
      </c>
      <c r="G5" s="2" t="str">
        <f>TEXT(WEEKDAY(DATE(Rok_kalendarzowy,5,5),1),"aaa")</f>
        <v>pon</v>
      </c>
      <c r="H5" s="2" t="str">
        <f>TEXT(WEEKDAY(DATE(Rok_kalendarzowy,5,6),1),"aaa")</f>
        <v>wt</v>
      </c>
      <c r="I5" s="2" t="str">
        <f>TEXT(WEEKDAY(DATE(Rok_kalendarzowy,5,7),1),"aaa")</f>
        <v>śr</v>
      </c>
      <c r="J5" s="2" t="str">
        <f>TEXT(WEEKDAY(DATE(Rok_kalendarzowy,5,8),1),"aaa")</f>
        <v>czw</v>
      </c>
      <c r="K5" s="2" t="str">
        <f>TEXT(WEEKDAY(DATE(Rok_kalendarzowy,5,9),1),"aaa")</f>
        <v>pt</v>
      </c>
      <c r="L5" s="2" t="str">
        <f>TEXT(WEEKDAY(DATE(Rok_kalendarzowy,5,10),1),"aaa")</f>
        <v>sob</v>
      </c>
      <c r="M5" s="2" t="str">
        <f>TEXT(WEEKDAY(DATE(Rok_kalendarzowy,5,11),1),"aaa")</f>
        <v>niedz</v>
      </c>
      <c r="N5" s="2" t="str">
        <f>TEXT(WEEKDAY(DATE(Rok_kalendarzowy,5,12),1),"aaa")</f>
        <v>pon</v>
      </c>
      <c r="O5" s="2" t="str">
        <f>TEXT(WEEKDAY(DATE(Rok_kalendarzowy,5,13),1),"aaa")</f>
        <v>wt</v>
      </c>
      <c r="P5" s="2" t="str">
        <f>TEXT(WEEKDAY(DATE(Rok_kalendarzowy,5,14),1),"aaa")</f>
        <v>śr</v>
      </c>
      <c r="Q5" s="2" t="str">
        <f>TEXT(WEEKDAY(DATE(Rok_kalendarzowy,5,15),1),"aaa")</f>
        <v>czw</v>
      </c>
      <c r="R5" s="2" t="str">
        <f>TEXT(WEEKDAY(DATE(Rok_kalendarzowy,5,16),1),"aaa")</f>
        <v>pt</v>
      </c>
      <c r="S5" s="2" t="str">
        <f>TEXT(WEEKDAY(DATE(Rok_kalendarzowy,5,17),1),"aaa")</f>
        <v>sob</v>
      </c>
      <c r="T5" s="2" t="str">
        <f>TEXT(WEEKDAY(DATE(Rok_kalendarzowy,5,18),1),"aaa")</f>
        <v>niedz</v>
      </c>
      <c r="U5" s="2" t="str">
        <f>TEXT(WEEKDAY(DATE(Rok_kalendarzowy,5,19),1),"aaa")</f>
        <v>pon</v>
      </c>
      <c r="V5" s="2" t="str">
        <f>TEXT(WEEKDAY(DATE(Rok_kalendarzowy,5,20),1),"aaa")</f>
        <v>wt</v>
      </c>
      <c r="W5" s="2" t="str">
        <f>TEXT(WEEKDAY(DATE(Rok_kalendarzowy,5,21),1),"aaa")</f>
        <v>śr</v>
      </c>
      <c r="X5" s="2" t="str">
        <f>TEXT(WEEKDAY(DATE(Rok_kalendarzowy,5,22),1),"aaa")</f>
        <v>czw</v>
      </c>
      <c r="Y5" s="2" t="str">
        <f>TEXT(WEEKDAY(DATE(Rok_kalendarzowy,5,23),1),"aaa")</f>
        <v>pt</v>
      </c>
      <c r="Z5" s="2" t="str">
        <f>TEXT(WEEKDAY(DATE(Rok_kalendarzowy,5,24),1),"aaa")</f>
        <v>sob</v>
      </c>
      <c r="AA5" s="2" t="str">
        <f>TEXT(WEEKDAY(DATE(Rok_kalendarzowy,5,25),1),"aaa")</f>
        <v>niedz</v>
      </c>
      <c r="AB5" s="2" t="str">
        <f>TEXT(WEEKDAY(DATE(Rok_kalendarzowy,5,26),1),"aaa")</f>
        <v>pon</v>
      </c>
      <c r="AC5" s="2" t="str">
        <f>TEXT(WEEKDAY(DATE(Rok_kalendarzowy,5,27),1),"aaa")</f>
        <v>wt</v>
      </c>
      <c r="AD5" s="2" t="str">
        <f>TEXT(WEEKDAY(DATE(Rok_kalendarzowy,5,28),1),"aaa")</f>
        <v>śr</v>
      </c>
      <c r="AE5" s="2" t="str">
        <f>TEXT(WEEKDAY(DATE(Rok_kalendarzowy,5,29),1),"aaa")</f>
        <v>czw</v>
      </c>
      <c r="AF5" s="2" t="str">
        <f>TEXT(WEEKDAY(DATE(Rok_kalendarzowy,5,30),1),"aaa")</f>
        <v>pt</v>
      </c>
      <c r="AG5" s="2" t="str">
        <f>TEXT(WEEKDAY(DATE(Rok_kalendarzowy,5,31),1),"aaa")</f>
        <v>sob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COUNTA(Maj[[#This Row],[1]:[31]])</f>
        <v>0</v>
      </c>
      <c r="AJ7" s="20"/>
      <c r="AK7" s="20"/>
      <c r="AL7" s="20"/>
    </row>
    <row r="8" spans="2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COUNTA(Maj[[#This Row],[1]:[31]])</f>
        <v>0</v>
      </c>
      <c r="AJ8" s="20"/>
      <c r="AK8" s="20"/>
      <c r="AL8" s="20"/>
    </row>
    <row r="9" spans="2:38" ht="30" customHeight="1" x14ac:dyDescent="0.35">
      <c r="B9" s="4" t="s">
        <v>61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COUNTA(Maj[[#This Row],[1]:[31]])</f>
        <v>0</v>
      </c>
    </row>
    <row r="10" spans="2:38" ht="30" customHeight="1" x14ac:dyDescent="0.35">
      <c r="B10" s="4" t="s">
        <v>61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COUNTA(Maj[[#This Row],[1]:[31]])</f>
        <v>0</v>
      </c>
      <c r="AJ10" s="20"/>
      <c r="AK10" s="20"/>
      <c r="AL10" s="20"/>
    </row>
    <row r="11" spans="2:38" ht="30" customHeight="1" x14ac:dyDescent="0.35">
      <c r="B11" s="4" t="s">
        <v>61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COUNTA(Maj[[#This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Maj</v>
      </c>
      <c r="C12" s="7">
        <f>SUBTOTAL(103,Maj[1])</f>
        <v>0</v>
      </c>
      <c r="D12" s="7">
        <f>SUBTOTAL(103,Maj[2])</f>
        <v>0</v>
      </c>
      <c r="E12" s="7">
        <f>SUBTOTAL(103,Maj[3])</f>
        <v>0</v>
      </c>
      <c r="F12" s="7">
        <f>SUBTOTAL(103,Maj[4])</f>
        <v>0</v>
      </c>
      <c r="G12" s="7">
        <f>SUBTOTAL(103,Maj[5])</f>
        <v>0</v>
      </c>
      <c r="H12" s="7">
        <f>SUBTOTAL(103,Maj[6])</f>
        <v>0</v>
      </c>
      <c r="I12" s="7">
        <f>SUBTOTAL(103,Maj[7])</f>
        <v>0</v>
      </c>
      <c r="J12" s="7">
        <f>SUBTOTAL(103,Maj[8])</f>
        <v>0</v>
      </c>
      <c r="K12" s="7">
        <f>SUBTOTAL(103,Maj[9])</f>
        <v>0</v>
      </c>
      <c r="L12" s="7">
        <f>SUBTOTAL(103,Maj[10])</f>
        <v>0</v>
      </c>
      <c r="M12" s="7">
        <f>SUBTOTAL(103,Maj[11])</f>
        <v>0</v>
      </c>
      <c r="N12" s="7">
        <f>SUBTOTAL(103,Maj[12])</f>
        <v>0</v>
      </c>
      <c r="O12" s="7">
        <f>SUBTOTAL(103,Maj[13])</f>
        <v>0</v>
      </c>
      <c r="P12" s="7">
        <f>SUBTOTAL(103,Maj[14])</f>
        <v>0</v>
      </c>
      <c r="Q12" s="7">
        <f>SUBTOTAL(103,Maj[15])</f>
        <v>0</v>
      </c>
      <c r="R12" s="7">
        <f>SUBTOTAL(103,Maj[16])</f>
        <v>0</v>
      </c>
      <c r="S12" s="7">
        <f>SUBTOTAL(103,Maj[17])</f>
        <v>0</v>
      </c>
      <c r="T12" s="7">
        <f>SUBTOTAL(103,Maj[18])</f>
        <v>0</v>
      </c>
      <c r="U12" s="7">
        <f>SUBTOTAL(103,Maj[19])</f>
        <v>0</v>
      </c>
      <c r="V12" s="7">
        <f>SUBTOTAL(103,Maj[20])</f>
        <v>0</v>
      </c>
      <c r="W12" s="7">
        <f>SUBTOTAL(103,Maj[21])</f>
        <v>0</v>
      </c>
      <c r="X12" s="7">
        <f>SUBTOTAL(103,Maj[22])</f>
        <v>0</v>
      </c>
      <c r="Y12" s="7">
        <f>SUBTOTAL(103,Maj[23])</f>
        <v>0</v>
      </c>
      <c r="Z12" s="7">
        <f>SUBTOTAL(103,Maj[24])</f>
        <v>0</v>
      </c>
      <c r="AA12" s="7">
        <f>SUBTOTAL(103,Maj[25])</f>
        <v>0</v>
      </c>
      <c r="AB12" s="7">
        <f>SUBTOTAL(103,Maj[26])</f>
        <v>0</v>
      </c>
      <c r="AC12" s="7">
        <f>SUBTOTAL(103,Maj[27])</f>
        <v>0</v>
      </c>
      <c r="AD12" s="7">
        <f>SUBTOTAL(103,Maj[28])</f>
        <v>0</v>
      </c>
      <c r="AE12" s="7">
        <f>SUBTOTAL(103,Maj[29])</f>
        <v>0</v>
      </c>
      <c r="AF12" s="7">
        <f>SUBTOTAL(103,Maj[30])</f>
        <v>0</v>
      </c>
      <c r="AG12" s="7">
        <f>SUBTOTAL(103,Maj[31])</f>
        <v>0</v>
      </c>
      <c r="AH12" s="7">
        <f>SUBTOTAL(109,Maj[Łączna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39" priority="2" stopIfTrue="1">
      <formula>C7=Klucz_niestandardowy_2</formula>
    </cfRule>
    <cfRule type="expression" dxfId="38" priority="3" stopIfTrue="1">
      <formula>C7=Klucz_niestandardowy_1</formula>
    </cfRule>
    <cfRule type="expression" dxfId="37" priority="4" stopIfTrue="1">
      <formula>C7=Klucz_Zwolnienie_lekarskie</formula>
    </cfRule>
    <cfRule type="expression" dxfId="36" priority="5" stopIfTrue="1">
      <formula>C7=Klucz_Osobiste</formula>
    </cfRule>
    <cfRule type="expression" dxfId="3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{5670947F-8B3C-4A6C-A280-4F5E10811DCE}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400-000000000000}"/>
    <dataValidation allowBlank="1" showInputMessage="1" showErrorMessage="1" prompt="Miesiąc tego harmonogramu Prac . Zaktualizuj rok w komórce AH4. W ostatniej komórce tabeli są śledzone sumy dni prac  według miesiąca." sqref="B4" xr:uid="{00000000-0002-0000-0400-000001000000}"/>
    <dataValidation allowBlank="1" showErrorMessage="1" sqref="B2:G2 K2:P2" xr:uid="{00000000-0002-0000-0400-000002000000}"/>
    <dataValidation allowBlank="1" showErrorMessage="1" prompt="Wprowadź literę i dostosuj etykietę po prawej, aby dodać kolejny element klucza." sqref="V2" xr:uid="{00000000-0002-0000-04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400-000008000000}"/>
    <dataValidation errorStyle="warning" allowBlank="1" showErrorMessage="1" error="Wybierz nazwisko z listy. Wybierz pozycję ANULUJ, a następnie naciśnij klawisze ALT+STRZAŁKA W DÓŁ i klawisz ENTER, aby wybrać nazwisko" sqref="B6" xr:uid="{00000000-0002-0000-0400-000009000000}"/>
    <dataValidation allowBlank="1" showInputMessage="1" showErrorMessage="1" prompt="Za pomocą tego arkusza śledź nieobecności w maju" sqref="A1" xr:uid="{00000000-0002-0000-0400-00000A000000}"/>
    <dataValidation allowBlank="1" showInputMessage="1" showErrorMessage="1" prompt="Ta kolumna zawiera automatycznie obliczoną łączną liczbę dni nieobecności pracownika w danym miesiącu." sqref="AH6" xr:uid="{00000000-0002-0000-0400-00000B000000}"/>
    <dataValidation allowBlank="1" showInputMessage="1" showErrorMessage="1" prompt="Automatycznie aktualizowany rok na podstawie roku wprowadzonego w arkuszu Styczeń." sqref="AH4" xr:uid="{00000000-0002-0000-04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400-00000D000000}"/>
    <dataValidation allowBlank="1" showInputMessage="1" showErrorMessage="1" prompt="Litera 'P' oznacza prace na polu" sqref="Q2" xr:uid="{11A1C28A-47CD-45EA-B93E-A7712EAC7BFE}"/>
    <dataValidation allowBlank="1" showErrorMessage="1" prompt="Wprowadź etykietę, aby opisać klucz niestandardowy po lewej stronie." sqref="R2:U2 W2:Z2" xr:uid="{489E52E2-F572-4C40-B077-1F91C5AAC9A4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70947F-8B3C-4A6C-A280-4F5E10811DCE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1:AL12"/>
  <sheetViews>
    <sheetView showGridLines="0" zoomScale="70" zoomScaleNormal="70" workbookViewId="0">
      <selection activeCell="H8" sqref="H8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3"/>
      <c r="E2" s="23"/>
      <c r="F2" s="23"/>
      <c r="G2" s="26"/>
      <c r="H2" s="25"/>
      <c r="I2" s="25"/>
      <c r="J2" s="25"/>
      <c r="K2" s="27"/>
      <c r="L2" s="25"/>
      <c r="M2" s="25"/>
      <c r="N2" s="25"/>
      <c r="O2" s="25"/>
      <c r="P2" s="25"/>
      <c r="Q2" s="3" t="s">
        <v>52</v>
      </c>
      <c r="R2" s="23" t="s">
        <v>62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40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TEXT(WEEKDAY(DATE(Rok_kalendarzowy,6,1),1),"aaa")</f>
        <v>niedz</v>
      </c>
      <c r="D5" s="2" t="str">
        <f>TEXT(WEEKDAY(DATE(Rok_kalendarzowy,6,2),1),"aaa")</f>
        <v>pon</v>
      </c>
      <c r="E5" s="2" t="str">
        <f>TEXT(WEEKDAY(DATE(Rok_kalendarzowy,6,3),1),"aaa")</f>
        <v>wt</v>
      </c>
      <c r="F5" s="2" t="str">
        <f>TEXT(WEEKDAY(DATE(Rok_kalendarzowy,6,4),1),"aaa")</f>
        <v>śr</v>
      </c>
      <c r="G5" s="2" t="str">
        <f>TEXT(WEEKDAY(DATE(Rok_kalendarzowy,6,5),1),"aaa")</f>
        <v>czw</v>
      </c>
      <c r="H5" s="2" t="str">
        <f>TEXT(WEEKDAY(DATE(Rok_kalendarzowy,6,6),1),"aaa")</f>
        <v>pt</v>
      </c>
      <c r="I5" s="2" t="str">
        <f>TEXT(WEEKDAY(DATE(Rok_kalendarzowy,6,7),1),"aaa")</f>
        <v>sob</v>
      </c>
      <c r="J5" s="2" t="str">
        <f>TEXT(WEEKDAY(DATE(Rok_kalendarzowy,6,8),1),"aaa")</f>
        <v>niedz</v>
      </c>
      <c r="K5" s="2" t="str">
        <f>TEXT(WEEKDAY(DATE(Rok_kalendarzowy,6,9),1),"aaa")</f>
        <v>pon</v>
      </c>
      <c r="L5" s="2" t="str">
        <f>TEXT(WEEKDAY(DATE(Rok_kalendarzowy,6,10),1),"aaa")</f>
        <v>wt</v>
      </c>
      <c r="M5" s="2" t="str">
        <f>TEXT(WEEKDAY(DATE(Rok_kalendarzowy,6,11),1),"aaa")</f>
        <v>śr</v>
      </c>
      <c r="N5" s="2" t="str">
        <f>TEXT(WEEKDAY(DATE(Rok_kalendarzowy,6,12),1),"aaa")</f>
        <v>czw</v>
      </c>
      <c r="O5" s="2" t="str">
        <f>TEXT(WEEKDAY(DATE(Rok_kalendarzowy,6,13),1),"aaa")</f>
        <v>pt</v>
      </c>
      <c r="P5" s="2" t="str">
        <f>TEXT(WEEKDAY(DATE(Rok_kalendarzowy,6,14),1),"aaa")</f>
        <v>sob</v>
      </c>
      <c r="Q5" s="2" t="str">
        <f>TEXT(WEEKDAY(DATE(Rok_kalendarzowy,6,15),1),"aaa")</f>
        <v>niedz</v>
      </c>
      <c r="R5" s="2" t="str">
        <f>TEXT(WEEKDAY(DATE(Rok_kalendarzowy,6,16),1),"aaa")</f>
        <v>pon</v>
      </c>
      <c r="S5" s="2" t="str">
        <f>TEXT(WEEKDAY(DATE(Rok_kalendarzowy,6,17),1),"aaa")</f>
        <v>wt</v>
      </c>
      <c r="T5" s="2" t="str">
        <f>TEXT(WEEKDAY(DATE(Rok_kalendarzowy,6,18),1),"aaa")</f>
        <v>śr</v>
      </c>
      <c r="U5" s="2" t="str">
        <f>TEXT(WEEKDAY(DATE(Rok_kalendarzowy,6,19),1),"aaa")</f>
        <v>czw</v>
      </c>
      <c r="V5" s="2" t="str">
        <f>TEXT(WEEKDAY(DATE(Rok_kalendarzowy,6,20),1),"aaa")</f>
        <v>pt</v>
      </c>
      <c r="W5" s="2" t="str">
        <f>TEXT(WEEKDAY(DATE(Rok_kalendarzowy,6,21),1),"aaa")</f>
        <v>sob</v>
      </c>
      <c r="X5" s="2" t="str">
        <f>TEXT(WEEKDAY(DATE(Rok_kalendarzowy,6,22),1),"aaa")</f>
        <v>niedz</v>
      </c>
      <c r="Y5" s="2" t="str">
        <f>TEXT(WEEKDAY(DATE(Rok_kalendarzowy,6,23),1),"aaa")</f>
        <v>pon</v>
      </c>
      <c r="Z5" s="2" t="str">
        <f>TEXT(WEEKDAY(DATE(Rok_kalendarzowy,6,24),1),"aaa")</f>
        <v>wt</v>
      </c>
      <c r="AA5" s="2" t="str">
        <f>TEXT(WEEKDAY(DATE(Rok_kalendarzowy,6,25),1),"aaa")</f>
        <v>śr</v>
      </c>
      <c r="AB5" s="2" t="str">
        <f>TEXT(WEEKDAY(DATE(Rok_kalendarzowy,6,26),1),"aaa")</f>
        <v>czw</v>
      </c>
      <c r="AC5" s="2" t="str">
        <f>TEXT(WEEKDAY(DATE(Rok_kalendarzowy,6,27),1),"aaa")</f>
        <v>pt</v>
      </c>
      <c r="AD5" s="2" t="str">
        <f>TEXT(WEEKDAY(DATE(Rok_kalendarzowy,6,28),1),"aaa")</f>
        <v>sob</v>
      </c>
      <c r="AE5" s="2" t="str">
        <f>TEXT(WEEKDAY(DATE(Rok_kalendarzowy,6,29),1),"aaa")</f>
        <v>niedz</v>
      </c>
      <c r="AF5" s="2" t="str">
        <f>TEXT(WEEKDAY(DATE(Rok_kalendarzowy,6,30),1),"aaa")</f>
        <v>pon</v>
      </c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35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COUNTA(Czerwiec[[#This Row],[1]:[30]])</f>
        <v>0</v>
      </c>
      <c r="AJ7" s="20"/>
      <c r="AK7" s="20"/>
      <c r="AL7" s="20"/>
    </row>
    <row r="8" spans="2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COUNTA(Czerwiec[[#This Row],[1]:[30]])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COUNTA(Czerwiec[[#This Row],[1]:[30]])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COUNTA(Czerwiec[[#This Row],[1]:[30]])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COUNTA(Czerwiec[[#This Row],[1]:[30]])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Czerwiec</v>
      </c>
      <c r="C12" s="7">
        <f>SUBTOTAL(103,Czerwiec[1])</f>
        <v>0</v>
      </c>
      <c r="D12" s="7">
        <f>SUBTOTAL(103,Czerwiec[2])</f>
        <v>0</v>
      </c>
      <c r="E12" s="7">
        <f>SUBTOTAL(103,Czerwiec[3])</f>
        <v>0</v>
      </c>
      <c r="F12" s="7">
        <f>SUBTOTAL(103,Czerwiec[4])</f>
        <v>0</v>
      </c>
      <c r="G12" s="7">
        <f>SUBTOTAL(103,Czerwiec[5])</f>
        <v>0</v>
      </c>
      <c r="H12" s="7">
        <f>SUBTOTAL(103,Czerwiec[6])</f>
        <v>0</v>
      </c>
      <c r="I12" s="7">
        <f>SUBTOTAL(103,Czerwiec[7])</f>
        <v>0</v>
      </c>
      <c r="J12" s="7">
        <f>SUBTOTAL(103,Czerwiec[8])</f>
        <v>0</v>
      </c>
      <c r="K12" s="7">
        <f>SUBTOTAL(103,Czerwiec[9])</f>
        <v>0</v>
      </c>
      <c r="L12" s="7">
        <f>SUBTOTAL(103,Czerwiec[10])</f>
        <v>0</v>
      </c>
      <c r="M12" s="7">
        <f>SUBTOTAL(103,Czerwiec[11])</f>
        <v>0</v>
      </c>
      <c r="N12" s="7">
        <f>SUBTOTAL(103,Czerwiec[12])</f>
        <v>0</v>
      </c>
      <c r="O12" s="7">
        <f>SUBTOTAL(103,Czerwiec[13])</f>
        <v>0</v>
      </c>
      <c r="P12" s="7">
        <f>SUBTOTAL(103,Czerwiec[14])</f>
        <v>0</v>
      </c>
      <c r="Q12" s="7">
        <f>SUBTOTAL(103,Czerwiec[15])</f>
        <v>0</v>
      </c>
      <c r="R12" s="7">
        <f>SUBTOTAL(103,Czerwiec[16])</f>
        <v>0</v>
      </c>
      <c r="S12" s="7">
        <f>SUBTOTAL(103,Czerwiec[17])</f>
        <v>0</v>
      </c>
      <c r="T12" s="7">
        <f>SUBTOTAL(103,Czerwiec[18])</f>
        <v>0</v>
      </c>
      <c r="U12" s="7">
        <f>SUBTOTAL(103,Czerwiec[19])</f>
        <v>0</v>
      </c>
      <c r="V12" s="7">
        <f>SUBTOTAL(103,Czerwiec[20])</f>
        <v>0</v>
      </c>
      <c r="W12" s="7">
        <f>SUBTOTAL(103,Czerwiec[21])</f>
        <v>0</v>
      </c>
      <c r="X12" s="7">
        <f>SUBTOTAL(103,Czerwiec[22])</f>
        <v>0</v>
      </c>
      <c r="Y12" s="7">
        <f>SUBTOTAL(103,Czerwiec[23])</f>
        <v>0</v>
      </c>
      <c r="Z12" s="7">
        <f>SUBTOTAL(103,Czerwiec[24])</f>
        <v>0</v>
      </c>
      <c r="AA12" s="7">
        <f>SUBTOTAL(103,Czerwiec[25])</f>
        <v>0</v>
      </c>
      <c r="AB12" s="7">
        <f>SUBTOTAL(103,Czerwiec[26])</f>
        <v>0</v>
      </c>
      <c r="AC12" s="7">
        <f>SUBTOTAL(103,Czerwiec[27])</f>
        <v>0</v>
      </c>
      <c r="AD12" s="7">
        <f>SUBTOTAL(103,Czerwiec[28])</f>
        <v>0</v>
      </c>
      <c r="AE12" s="7">
        <f>SUBTOTAL(103,Czerwiec[29])</f>
        <v>0</v>
      </c>
      <c r="AF12" s="7">
        <f>SUBTOTAL(103,Czerwiec[30])</f>
        <v>0</v>
      </c>
      <c r="AG12" s="7">
        <f>SUBTOTAL(103,Czerwiec[[ ]])</f>
        <v>0</v>
      </c>
      <c r="AH12" s="7">
        <f>SUBTOTAL(109,Czerwiec[Łączna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34" priority="2" stopIfTrue="1">
      <formula>C7=Klucz_niestandardowy_2</formula>
    </cfRule>
    <cfRule type="expression" dxfId="33" priority="3" stopIfTrue="1">
      <formula>C7=Klucz_niestandardowy_1</formula>
    </cfRule>
    <cfRule type="expression" dxfId="32" priority="4" stopIfTrue="1">
      <formula>C7=Klucz_Zwolnienie_lekarskie</formula>
    </cfRule>
    <cfRule type="expression" dxfId="31" priority="5" stopIfTrue="1">
      <formula>C7=Klucz_Osobiste</formula>
    </cfRule>
    <cfRule type="expression" dxfId="30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dataValidations count="13"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500-000000000000}"/>
    <dataValidation allowBlank="1" showInputMessage="1" showErrorMessage="1" prompt="Automatycznie aktualizowany rok na podstawie roku wprowadzonego w arkuszu Styczeń." sqref="AH4" xr:uid="{00000000-0002-0000-0500-000001000000}"/>
    <dataValidation allowBlank="1" showInputMessage="1" showErrorMessage="1" prompt="Ta kolumna zawiera automatycznie obliczoną łączną liczbę dni nieobecności pracownika w danym miesiącu." sqref="AH6" xr:uid="{00000000-0002-0000-0500-000002000000}"/>
    <dataValidation allowBlank="1" showInputMessage="1" showErrorMessage="1" prompt="Za pomocą tego arkusza śledź nieobecności w czerwcu" sqref="A1" xr:uid="{00000000-0002-0000-0500-000003000000}"/>
    <dataValidation errorStyle="warning" allowBlank="1" showErrorMessage="1" error="Wybierz nazwisko z listy. Wybierz pozycję ANULUJ, a następnie naciśnij klawisze ALT+STRZAŁKA W DÓŁ i klawisz ENTER, aby wybrać nazwisko" sqref="B6" xr:uid="{00000000-0002-0000-05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500-000005000000}"/>
    <dataValidation allowBlank="1" showErrorMessage="1" sqref="B2:C2 K2 G2" xr:uid="{00000000-0002-0000-0500-000006000000}"/>
    <dataValidation allowBlank="1" showErrorMessage="1" prompt="Wprowadź literę i dostosuj etykietę po prawej, aby dodać kolejny element klucza." sqref="V2" xr:uid="{00000000-0002-0000-0500-000009000000}"/>
    <dataValidation allowBlank="1" showInputMessage="1" showErrorMessage="1" prompt="Wprowadź etykietę, aby opisać klucz niestandardowy po lewej stronie." sqref="W2" xr:uid="{00000000-0002-0000-0500-00000A000000}"/>
    <dataValidation allowBlank="1" showInputMessage="1" showErrorMessage="1" prompt="Miesiąc tego harmonogramu Prac . Zaktualizuj rok w komórce AH4. W ostatniej komórce tabeli są śledzone sumy dni prac  według miesiąca." sqref="B4" xr:uid="{00000000-0002-0000-05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500-00000D000000}"/>
    <dataValidation allowBlank="1" showInputMessage="1" showErrorMessage="1" prompt="Litera 'P' oznacza prace na polu" sqref="Q2" xr:uid="{89AF8E76-27A2-4882-B799-5A88EA68A84E}"/>
    <dataValidation allowBlank="1" showErrorMessage="1" prompt="Wprowadź etykietę, aby opisać klucz niestandardowy po lewej stronie." sqref="R2:U2 W2:Z2" xr:uid="{DB417D78-7DE8-482B-AAAA-0C2B7F4A6439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  <pageSetUpPr fitToPage="1"/>
  </sheetPr>
  <dimension ref="B1:AL12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5"/>
      <c r="E2" s="25"/>
      <c r="F2" s="25"/>
      <c r="G2" s="26"/>
      <c r="H2" s="25"/>
      <c r="I2" s="25"/>
      <c r="J2" s="25"/>
      <c r="K2" s="27"/>
      <c r="L2" s="23"/>
      <c r="M2" s="23"/>
      <c r="N2" s="23"/>
      <c r="O2" s="23"/>
      <c r="P2" s="23"/>
      <c r="Q2" s="3" t="s">
        <v>52</v>
      </c>
      <c r="R2" s="23" t="s">
        <v>62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41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TEXT(WEEKDAY(DATE(Rok_kalendarzowy,7,1),1),"aaa")</f>
        <v>wt</v>
      </c>
      <c r="D5" s="2" t="str">
        <f>TEXT(WEEKDAY(DATE(Rok_kalendarzowy,7,2),1),"aaa")</f>
        <v>śr</v>
      </c>
      <c r="E5" s="2" t="str">
        <f>TEXT(WEEKDAY(DATE(Rok_kalendarzowy,7,3),1),"aaa")</f>
        <v>czw</v>
      </c>
      <c r="F5" s="2" t="str">
        <f>TEXT(WEEKDAY(DATE(Rok_kalendarzowy,7,4),1),"aaa")</f>
        <v>pt</v>
      </c>
      <c r="G5" s="2" t="str">
        <f>TEXT(WEEKDAY(DATE(Rok_kalendarzowy,7,5),1),"aaa")</f>
        <v>sob</v>
      </c>
      <c r="H5" s="2" t="str">
        <f>TEXT(WEEKDAY(DATE(Rok_kalendarzowy,7,6),1),"aaa")</f>
        <v>niedz</v>
      </c>
      <c r="I5" s="2" t="str">
        <f>TEXT(WEEKDAY(DATE(Rok_kalendarzowy,7,7),1),"aaa")</f>
        <v>pon</v>
      </c>
      <c r="J5" s="2" t="str">
        <f>TEXT(WEEKDAY(DATE(Rok_kalendarzowy,7,8),1),"aaa")</f>
        <v>wt</v>
      </c>
      <c r="K5" s="2" t="str">
        <f>TEXT(WEEKDAY(DATE(Rok_kalendarzowy,7,9),1),"aaa")</f>
        <v>śr</v>
      </c>
      <c r="L5" s="2" t="str">
        <f>TEXT(WEEKDAY(DATE(Rok_kalendarzowy,7,10),1),"aaa")</f>
        <v>czw</v>
      </c>
      <c r="M5" s="2" t="str">
        <f>TEXT(WEEKDAY(DATE(Rok_kalendarzowy,7,11),1),"aaa")</f>
        <v>pt</v>
      </c>
      <c r="N5" s="2" t="str">
        <f>TEXT(WEEKDAY(DATE(Rok_kalendarzowy,7,12),1),"aaa")</f>
        <v>sob</v>
      </c>
      <c r="O5" s="2" t="str">
        <f>TEXT(WEEKDAY(DATE(Rok_kalendarzowy,7,13),1),"aaa")</f>
        <v>niedz</v>
      </c>
      <c r="P5" s="2" t="str">
        <f>TEXT(WEEKDAY(DATE(Rok_kalendarzowy,7,14),1),"aaa")</f>
        <v>pon</v>
      </c>
      <c r="Q5" s="2" t="str">
        <f>TEXT(WEEKDAY(DATE(Rok_kalendarzowy,7,15),1),"aaa")</f>
        <v>wt</v>
      </c>
      <c r="R5" s="2" t="str">
        <f>TEXT(WEEKDAY(DATE(Rok_kalendarzowy,7,16),1),"aaa")</f>
        <v>śr</v>
      </c>
      <c r="S5" s="2" t="str">
        <f>TEXT(WEEKDAY(DATE(Rok_kalendarzowy,7,17),1),"aaa")</f>
        <v>czw</v>
      </c>
      <c r="T5" s="2" t="str">
        <f>TEXT(WEEKDAY(DATE(Rok_kalendarzowy,7,18),1),"aaa")</f>
        <v>pt</v>
      </c>
      <c r="U5" s="2" t="str">
        <f>TEXT(WEEKDAY(DATE(Rok_kalendarzowy,7,19),1),"aaa")</f>
        <v>sob</v>
      </c>
      <c r="V5" s="2" t="str">
        <f>TEXT(WEEKDAY(DATE(Rok_kalendarzowy,7,20),1),"aaa")</f>
        <v>niedz</v>
      </c>
      <c r="W5" s="2" t="str">
        <f>TEXT(WEEKDAY(DATE(Rok_kalendarzowy,7,21),1),"aaa")</f>
        <v>pon</v>
      </c>
      <c r="X5" s="2" t="str">
        <f>TEXT(WEEKDAY(DATE(Rok_kalendarzowy,7,22),1),"aaa")</f>
        <v>wt</v>
      </c>
      <c r="Y5" s="2" t="str">
        <f>TEXT(WEEKDAY(DATE(Rok_kalendarzowy,7,23),1),"aaa")</f>
        <v>śr</v>
      </c>
      <c r="Z5" s="2" t="str">
        <f>TEXT(WEEKDAY(DATE(Rok_kalendarzowy,7,24),1),"aaa")</f>
        <v>czw</v>
      </c>
      <c r="AA5" s="2" t="str">
        <f>TEXT(WEEKDAY(DATE(Rok_kalendarzowy,7,25),1),"aaa")</f>
        <v>pt</v>
      </c>
      <c r="AB5" s="2" t="str">
        <f>TEXT(WEEKDAY(DATE(Rok_kalendarzowy,7,26),1),"aaa")</f>
        <v>sob</v>
      </c>
      <c r="AC5" s="2" t="str">
        <f>TEXT(WEEKDAY(DATE(Rok_kalendarzowy,7,27),1),"aaa")</f>
        <v>niedz</v>
      </c>
      <c r="AD5" s="2" t="str">
        <f>TEXT(WEEKDAY(DATE(Rok_kalendarzowy,7,28),1),"aaa")</f>
        <v>pon</v>
      </c>
      <c r="AE5" s="2" t="str">
        <f>TEXT(WEEKDAY(DATE(Rok_kalendarzowy,7,29),1),"aaa")</f>
        <v>wt</v>
      </c>
      <c r="AF5" s="2" t="str">
        <f>TEXT(WEEKDAY(DATE(Rok_kalendarzowy,7,30),1),"aaa")</f>
        <v>śr</v>
      </c>
      <c r="AG5" s="2" t="str">
        <f>TEXT(WEEKDAY(DATE(Rok_kalendarzowy,7,31),1),"aaa")</f>
        <v>czw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47</v>
      </c>
      <c r="C7" s="2"/>
      <c r="D7" s="2"/>
      <c r="E7" s="2"/>
      <c r="F7" s="2"/>
      <c r="G7" s="2" t="s">
        <v>52</v>
      </c>
      <c r="H7" s="2" t="s">
        <v>52</v>
      </c>
      <c r="I7" s="2" t="s">
        <v>52</v>
      </c>
      <c r="J7" s="2" t="s">
        <v>52</v>
      </c>
      <c r="K7" s="2" t="s">
        <v>52</v>
      </c>
      <c r="L7" s="2" t="s">
        <v>52</v>
      </c>
      <c r="M7" s="2" t="s">
        <v>52</v>
      </c>
      <c r="N7" s="2" t="s">
        <v>52</v>
      </c>
      <c r="O7" s="2" t="s">
        <v>52</v>
      </c>
      <c r="P7" s="2" t="s">
        <v>52</v>
      </c>
      <c r="Q7" s="2" t="s">
        <v>52</v>
      </c>
      <c r="R7" s="2" t="s">
        <v>52</v>
      </c>
      <c r="S7" s="2" t="s">
        <v>52</v>
      </c>
      <c r="T7" s="2" t="s">
        <v>52</v>
      </c>
      <c r="U7" s="2" t="s">
        <v>52</v>
      </c>
      <c r="V7" s="2" t="s">
        <v>52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COUNTA(Lipiec[[#This Row],[1]:[31]])</f>
        <v>16</v>
      </c>
      <c r="AJ7" s="20"/>
      <c r="AK7" s="20"/>
      <c r="AL7" s="20"/>
    </row>
    <row r="8" spans="2:38" ht="30" customHeight="1" x14ac:dyDescent="0.35">
      <c r="B8" s="4" t="s">
        <v>64</v>
      </c>
      <c r="C8" s="2"/>
      <c r="D8" s="2"/>
      <c r="E8" s="2"/>
      <c r="F8" s="2"/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 t="s">
        <v>52</v>
      </c>
      <c r="R8" s="2" t="s">
        <v>52</v>
      </c>
      <c r="S8" s="2" t="s">
        <v>52</v>
      </c>
      <c r="T8" s="2" t="s">
        <v>52</v>
      </c>
      <c r="U8" s="2" t="s">
        <v>52</v>
      </c>
      <c r="V8" s="2" t="s">
        <v>52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COUNTA(Lipiec[[#This Row],[1]:[31]])</f>
        <v>16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COUNTA(Lipiec[[#This Row],[1]:[31]])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COUNTA(Lipiec[[#This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COUNTA(Lipiec[[#This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Lipiec</v>
      </c>
      <c r="C12" s="7">
        <f>SUBTOTAL(103,Lipiec[1])</f>
        <v>0</v>
      </c>
      <c r="D12" s="7">
        <f>SUBTOTAL(103,Lipiec[2])</f>
        <v>0</v>
      </c>
      <c r="E12" s="7">
        <f>SUBTOTAL(103,Lipiec[3])</f>
        <v>0</v>
      </c>
      <c r="F12" s="7">
        <f>SUBTOTAL(103,Lipiec[4])</f>
        <v>0</v>
      </c>
      <c r="G12" s="7">
        <f>SUBTOTAL(103,Lipiec[5])</f>
        <v>2</v>
      </c>
      <c r="H12" s="7">
        <f>SUBTOTAL(103,Lipiec[6])</f>
        <v>2</v>
      </c>
      <c r="I12" s="7">
        <f>SUBTOTAL(103,Lipiec[7])</f>
        <v>2</v>
      </c>
      <c r="J12" s="7">
        <f>SUBTOTAL(103,Lipiec[8])</f>
        <v>2</v>
      </c>
      <c r="K12" s="7">
        <f>SUBTOTAL(103,Lipiec[9])</f>
        <v>2</v>
      </c>
      <c r="L12" s="7">
        <f>SUBTOTAL(103,Lipiec[10])</f>
        <v>2</v>
      </c>
      <c r="M12" s="7">
        <f>SUBTOTAL(103,Lipiec[11])</f>
        <v>2</v>
      </c>
      <c r="N12" s="7">
        <f>SUBTOTAL(103,Lipiec[12])</f>
        <v>2</v>
      </c>
      <c r="O12" s="7">
        <f>SUBTOTAL(103,Lipiec[13])</f>
        <v>2</v>
      </c>
      <c r="P12" s="7">
        <f>SUBTOTAL(103,Lipiec[14])</f>
        <v>2</v>
      </c>
      <c r="Q12" s="7">
        <f>SUBTOTAL(103,Lipiec[15])</f>
        <v>2</v>
      </c>
      <c r="R12" s="7">
        <f>SUBTOTAL(103,Lipiec[16])</f>
        <v>2</v>
      </c>
      <c r="S12" s="7">
        <f>SUBTOTAL(103,Lipiec[17])</f>
        <v>2</v>
      </c>
      <c r="T12" s="7">
        <f>SUBTOTAL(103,Lipiec[18])</f>
        <v>2</v>
      </c>
      <c r="U12" s="7">
        <f>SUBTOTAL(103,Lipiec[19])</f>
        <v>2</v>
      </c>
      <c r="V12" s="7">
        <f>SUBTOTAL(103,Lipiec[20])</f>
        <v>2</v>
      </c>
      <c r="W12" s="7">
        <f>SUBTOTAL(103,Lipiec[21])</f>
        <v>0</v>
      </c>
      <c r="X12" s="7">
        <f>SUBTOTAL(103,Lipiec[22])</f>
        <v>0</v>
      </c>
      <c r="Y12" s="7">
        <f>SUBTOTAL(103,Lipiec[23])</f>
        <v>0</v>
      </c>
      <c r="Z12" s="7">
        <f>SUBTOTAL(103,Lipiec[24])</f>
        <v>0</v>
      </c>
      <c r="AA12" s="7">
        <f>SUBTOTAL(103,Lipiec[25])</f>
        <v>0</v>
      </c>
      <c r="AB12" s="7">
        <f>SUBTOTAL(103,Lipiec[26])</f>
        <v>0</v>
      </c>
      <c r="AC12" s="7">
        <f>SUBTOTAL(103,Lipiec[27])</f>
        <v>0</v>
      </c>
      <c r="AD12" s="7">
        <f>SUBTOTAL(103,Lipiec[28])</f>
        <v>0</v>
      </c>
      <c r="AE12" s="7">
        <f>SUBTOTAL(103,Lipiec[29])</f>
        <v>0</v>
      </c>
      <c r="AF12" s="7">
        <f>SUBTOTAL(103,Lipiec[30])</f>
        <v>0</v>
      </c>
      <c r="AG12" s="7">
        <f>SUBTOTAL(103,Lipiec[31])</f>
        <v>0</v>
      </c>
      <c r="AH12" s="7">
        <f>SUBTOTAL(109,Lipiec[Łączna liczba dni])</f>
        <v>32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29" priority="2" stopIfTrue="1">
      <formula>C7=Klucz_niestandardowy_2</formula>
    </cfRule>
    <cfRule type="expression" dxfId="28" priority="3" stopIfTrue="1">
      <formula>C7=Klucz_niestandardowy_1</formula>
    </cfRule>
    <cfRule type="expression" dxfId="27" priority="4" stopIfTrue="1">
      <formula>C7=Klucz_Zwolnienie_lekarskie</formula>
    </cfRule>
    <cfRule type="expression" dxfId="26" priority="5" stopIfTrue="1">
      <formula>C7=Klucz_Osobiste</formula>
    </cfRule>
    <cfRule type="expression" dxfId="2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600-000000000000}"/>
    <dataValidation allowBlank="1" showInputMessage="1" showErrorMessage="1" prompt="Miesiąc tego harmonogramu Prac . Zaktualizuj rok w komórce AH4. W ostatniej komórce tabeli są śledzone sumy dni prac  według miesiąca." sqref="B4" xr:uid="{00000000-0002-0000-0600-000001000000}"/>
    <dataValidation allowBlank="1" showErrorMessage="1" sqref="B2:P2" xr:uid="{00000000-0002-0000-0600-000002000000}"/>
    <dataValidation allowBlank="1" showErrorMessage="1" prompt="Wprowadź literę i dostosuj etykietę po prawej, aby dodać kolejny element klucza." sqref="V2" xr:uid="{00000000-0002-0000-06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600-000008000000}"/>
    <dataValidation errorStyle="warning" allowBlank="1" showErrorMessage="1" error="Wybierz nazwisko z listy. Wybierz pozycję ANULUJ, a następnie naciśnij klawisze ALT+STRZAŁKA W DÓŁ i klawisz ENTER, aby wybrać nazwisko" sqref="B6" xr:uid="{00000000-0002-0000-0600-000009000000}"/>
    <dataValidation allowBlank="1" showInputMessage="1" showErrorMessage="1" prompt="Za pomocą tego arkusza śledź nieobecności w lipcu" sqref="A1" xr:uid="{00000000-0002-0000-0600-00000A000000}"/>
    <dataValidation allowBlank="1" showInputMessage="1" showErrorMessage="1" prompt="Ta kolumna zawiera automatycznie obliczoną łączną liczbę dni nieobecności pracownika w danym miesiącu." sqref="AH6" xr:uid="{00000000-0002-0000-0600-00000B000000}"/>
    <dataValidation allowBlank="1" showInputMessage="1" showErrorMessage="1" prompt="Automatycznie aktualizowany rok na podstawie roku wprowadzonego w arkuszu Styczeń." sqref="AH4" xr:uid="{00000000-0002-0000-06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600-00000D000000}"/>
    <dataValidation allowBlank="1" showInputMessage="1" showErrorMessage="1" prompt="Litera 'P' oznacza prace na polu" sqref="Q2" xr:uid="{C988DED0-9D61-4978-ADD5-A650586ED3BD}"/>
    <dataValidation allowBlank="1" showErrorMessage="1" prompt="Wprowadź etykietę, aby opisać klucz niestandardowy po lewej stronie." sqref="R2:U2 W2:Z2" xr:uid="{B4DF387B-5E9A-439D-B0E0-A20921099A03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749992370372631"/>
    <pageSetUpPr fitToPage="1"/>
  </sheetPr>
  <dimension ref="B1:AL14"/>
  <sheetViews>
    <sheetView showGridLines="0" zoomScale="70" zoomScaleNormal="70" workbookViewId="0">
      <selection activeCell="I9" sqref="I9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5"/>
      <c r="E2" s="25"/>
      <c r="F2" s="25"/>
      <c r="G2" s="26"/>
      <c r="H2" s="25"/>
      <c r="I2" s="25"/>
      <c r="J2" s="25"/>
      <c r="K2" s="27"/>
      <c r="L2" s="23"/>
      <c r="M2" s="23"/>
      <c r="N2" s="23"/>
      <c r="O2" s="23"/>
      <c r="P2" s="23"/>
      <c r="Q2" s="3" t="s">
        <v>52</v>
      </c>
      <c r="R2" s="23" t="s">
        <v>62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42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TEXT(WEEKDAY(DATE(Rok_kalendarzowy,8,1),1),"aaa")</f>
        <v>pt</v>
      </c>
      <c r="D5" s="2" t="str">
        <f>TEXT(WEEKDAY(DATE(Rok_kalendarzowy,8,2),1),"aaa")</f>
        <v>sob</v>
      </c>
      <c r="E5" s="2" t="str">
        <f>TEXT(WEEKDAY(DATE(Rok_kalendarzowy,8,3),1),"aaa")</f>
        <v>niedz</v>
      </c>
      <c r="F5" s="2" t="str">
        <f>TEXT(WEEKDAY(DATE(Rok_kalendarzowy,8,4),1),"aaa")</f>
        <v>pon</v>
      </c>
      <c r="G5" s="2" t="str">
        <f>TEXT(WEEKDAY(DATE(Rok_kalendarzowy,8,5),1),"aaa")</f>
        <v>wt</v>
      </c>
      <c r="H5" s="2" t="str">
        <f>TEXT(WEEKDAY(DATE(Rok_kalendarzowy,8,6),1),"aaa")</f>
        <v>śr</v>
      </c>
      <c r="I5" s="2" t="str">
        <f>TEXT(WEEKDAY(DATE(Rok_kalendarzowy,8,7),1),"aaa")</f>
        <v>czw</v>
      </c>
      <c r="J5" s="2" t="str">
        <f>TEXT(WEEKDAY(DATE(Rok_kalendarzowy,8,8),1),"aaa")</f>
        <v>pt</v>
      </c>
      <c r="K5" s="2" t="str">
        <f>TEXT(WEEKDAY(DATE(Rok_kalendarzowy,8,9),1),"aaa")</f>
        <v>sob</v>
      </c>
      <c r="L5" s="2" t="str">
        <f>TEXT(WEEKDAY(DATE(Rok_kalendarzowy,8,10),1),"aaa")</f>
        <v>niedz</v>
      </c>
      <c r="M5" s="2" t="str">
        <f>TEXT(WEEKDAY(DATE(Rok_kalendarzowy,8,11),1),"aaa")</f>
        <v>pon</v>
      </c>
      <c r="N5" s="2" t="str">
        <f>TEXT(WEEKDAY(DATE(Rok_kalendarzowy,8,12),1),"aaa")</f>
        <v>wt</v>
      </c>
      <c r="O5" s="2" t="str">
        <f>TEXT(WEEKDAY(DATE(Rok_kalendarzowy,8,13),1),"aaa")</f>
        <v>śr</v>
      </c>
      <c r="P5" s="2" t="str">
        <f>TEXT(WEEKDAY(DATE(Rok_kalendarzowy,8,14),1),"aaa")</f>
        <v>czw</v>
      </c>
      <c r="Q5" s="2" t="str">
        <f>TEXT(WEEKDAY(DATE(Rok_kalendarzowy,8,15),1),"aaa")</f>
        <v>pt</v>
      </c>
      <c r="R5" s="2" t="str">
        <f>TEXT(WEEKDAY(DATE(Rok_kalendarzowy,8,16),1),"aaa")</f>
        <v>sob</v>
      </c>
      <c r="S5" s="2" t="str">
        <f>TEXT(WEEKDAY(DATE(Rok_kalendarzowy,8,17),1),"aaa")</f>
        <v>niedz</v>
      </c>
      <c r="T5" s="2" t="str">
        <f>TEXT(WEEKDAY(DATE(Rok_kalendarzowy,8,18),1),"aaa")</f>
        <v>pon</v>
      </c>
      <c r="U5" s="2" t="str">
        <f>TEXT(WEEKDAY(DATE(Rok_kalendarzowy,8,19),1),"aaa")</f>
        <v>wt</v>
      </c>
      <c r="V5" s="2" t="str">
        <f>TEXT(WEEKDAY(DATE(Rok_kalendarzowy,8,20),1),"aaa")</f>
        <v>śr</v>
      </c>
      <c r="W5" s="2" t="str">
        <f>TEXT(WEEKDAY(DATE(Rok_kalendarzowy,8,21),1),"aaa")</f>
        <v>czw</v>
      </c>
      <c r="X5" s="2" t="str">
        <f>TEXT(WEEKDAY(DATE(Rok_kalendarzowy,8,22),1),"aaa")</f>
        <v>pt</v>
      </c>
      <c r="Y5" s="2" t="str">
        <f>TEXT(WEEKDAY(DATE(Rok_kalendarzowy,8,23),1),"aaa")</f>
        <v>sob</v>
      </c>
      <c r="Z5" s="2" t="str">
        <f>TEXT(WEEKDAY(DATE(Rok_kalendarzowy,8,24),1),"aaa")</f>
        <v>niedz</v>
      </c>
      <c r="AA5" s="2" t="str">
        <f>TEXT(WEEKDAY(DATE(Rok_kalendarzowy,8,25),1),"aaa")</f>
        <v>pon</v>
      </c>
      <c r="AB5" s="2" t="str">
        <f>TEXT(WEEKDAY(DATE(Rok_kalendarzowy,8,26),1),"aaa")</f>
        <v>wt</v>
      </c>
      <c r="AC5" s="2" t="str">
        <f>TEXT(WEEKDAY(DATE(Rok_kalendarzowy,8,27),1),"aaa")</f>
        <v>śr</v>
      </c>
      <c r="AD5" s="2" t="str">
        <f>TEXT(WEEKDAY(DATE(Rok_kalendarzowy,8,28),1),"aaa")</f>
        <v>czw</v>
      </c>
      <c r="AE5" s="2" t="str">
        <f>TEXT(WEEKDAY(DATE(Rok_kalendarzowy,8,29),1),"aaa")</f>
        <v>pt</v>
      </c>
      <c r="AF5" s="2" t="str">
        <f>TEXT(WEEKDAY(DATE(Rok_kalendarzowy,8,30),1),"aaa")</f>
        <v>sob</v>
      </c>
      <c r="AG5" s="2" t="str">
        <f>TEXT(WEEKDAY(DATE(Rok_kalendarzowy,8,31),1),"aaa")</f>
        <v>niedz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COUNTA(Sierpień[[#This Row],[1]:[31]])</f>
        <v>0</v>
      </c>
      <c r="AJ7" s="20"/>
      <c r="AK7" s="20"/>
      <c r="AL7" s="20"/>
    </row>
    <row r="8" spans="2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COUNTA(Sierpień[[#This Row],[1]:[31]])</f>
        <v>0</v>
      </c>
      <c r="AJ8" s="20"/>
      <c r="AK8" s="20"/>
      <c r="AL8" s="20"/>
    </row>
    <row r="9" spans="2:38" ht="30" customHeight="1" x14ac:dyDescent="0.35">
      <c r="B9" s="4" t="s">
        <v>61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COUNTA(Sierpień[[#This Row],[1]:[31]])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COUNTA(Sierpień[[#This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COUNTA(Sierpień[[#This Row],[1]:[31]])</f>
        <v>0</v>
      </c>
      <c r="AJ11" s="20"/>
      <c r="AK11" s="20"/>
      <c r="AL11" s="20"/>
    </row>
    <row r="12" spans="2:38" ht="30" customHeight="1" x14ac:dyDescent="0.35">
      <c r="B12" s="17"/>
      <c r="AH12" s="5">
        <f>COUNTA(Sierpień[[#This Row],[1]:[31]])</f>
        <v>0</v>
      </c>
      <c r="AJ12" s="20"/>
      <c r="AK12" s="20"/>
      <c r="AL12" s="20"/>
    </row>
    <row r="13" spans="2:38" ht="30" customHeight="1" x14ac:dyDescent="0.35">
      <c r="B13" s="17"/>
      <c r="AH13" s="5">
        <f>COUNTA(Sierpień[[#This Row],[1]:[31]])</f>
        <v>0</v>
      </c>
    </row>
    <row r="14" spans="2:38" ht="30" customHeight="1" x14ac:dyDescent="0.35">
      <c r="B14" s="14" t="str">
        <f>"Suma z "&amp;Nazwa_miesiąca</f>
        <v>Suma z Sierpień</v>
      </c>
      <c r="C14" s="7">
        <f>SUBTOTAL(103,Sierpień[1])</f>
        <v>0</v>
      </c>
      <c r="D14" s="7">
        <f>SUBTOTAL(103,Sierpień[2])</f>
        <v>0</v>
      </c>
      <c r="E14" s="7">
        <f>SUBTOTAL(103,Sierpień[3])</f>
        <v>0</v>
      </c>
      <c r="F14" s="7">
        <f>SUBTOTAL(103,Sierpień[4])</f>
        <v>0</v>
      </c>
      <c r="G14" s="7">
        <f>SUBTOTAL(103,Sierpień[5])</f>
        <v>0</v>
      </c>
      <c r="H14" s="7">
        <f>SUBTOTAL(103,Sierpień[6])</f>
        <v>0</v>
      </c>
      <c r="I14" s="7">
        <f>SUBTOTAL(103,Sierpień[7])</f>
        <v>0</v>
      </c>
      <c r="J14" s="7">
        <f>SUBTOTAL(103,Sierpień[8])</f>
        <v>0</v>
      </c>
      <c r="K14" s="7">
        <f>SUBTOTAL(103,Sierpień[9])</f>
        <v>0</v>
      </c>
      <c r="L14" s="7">
        <f>SUBTOTAL(103,Sierpień[10])</f>
        <v>0</v>
      </c>
      <c r="M14" s="7">
        <f>SUBTOTAL(103,Sierpień[11])</f>
        <v>0</v>
      </c>
      <c r="N14" s="7">
        <f>SUBTOTAL(103,Sierpień[12])</f>
        <v>0</v>
      </c>
      <c r="O14" s="7">
        <f>SUBTOTAL(103,Sierpień[13])</f>
        <v>0</v>
      </c>
      <c r="P14" s="7">
        <f>SUBTOTAL(103,Sierpień[14])</f>
        <v>0</v>
      </c>
      <c r="Q14" s="7">
        <f>SUBTOTAL(103,Sierpień[15])</f>
        <v>0</v>
      </c>
      <c r="R14" s="7">
        <f>SUBTOTAL(103,Sierpień[16])</f>
        <v>0</v>
      </c>
      <c r="S14" s="7">
        <f>SUBTOTAL(103,Sierpień[17])</f>
        <v>0</v>
      </c>
      <c r="T14" s="7">
        <f>SUBTOTAL(103,Sierpień[18])</f>
        <v>0</v>
      </c>
      <c r="U14" s="7">
        <f>SUBTOTAL(103,Sierpień[19])</f>
        <v>0</v>
      </c>
      <c r="V14" s="7">
        <f>SUBTOTAL(103,Sierpień[20])</f>
        <v>0</v>
      </c>
      <c r="W14" s="7">
        <f>SUBTOTAL(103,Sierpień[21])</f>
        <v>0</v>
      </c>
      <c r="X14" s="7">
        <f>SUBTOTAL(103,Sierpień[22])</f>
        <v>0</v>
      </c>
      <c r="Y14" s="7">
        <f>SUBTOTAL(103,Sierpień[23])</f>
        <v>0</v>
      </c>
      <c r="Z14" s="7">
        <f>SUBTOTAL(103,Sierpień[24])</f>
        <v>0</v>
      </c>
      <c r="AA14" s="7">
        <f>SUBTOTAL(103,Sierpień[25])</f>
        <v>0</v>
      </c>
      <c r="AB14" s="7">
        <f>SUBTOTAL(103,Sierpień[26])</f>
        <v>0</v>
      </c>
      <c r="AC14" s="7">
        <f>SUBTOTAL(103,Sierpień[27])</f>
        <v>0</v>
      </c>
      <c r="AD14" s="7">
        <f>SUBTOTAL(103,Sierpień[28])</f>
        <v>0</v>
      </c>
      <c r="AE14" s="7">
        <f>SUBTOTAL(103,Sierpień[29])</f>
        <v>0</v>
      </c>
      <c r="AF14" s="7">
        <f>SUBTOTAL(103,Sierpień[30])</f>
        <v>0</v>
      </c>
      <c r="AG14" s="7">
        <f>SUBTOTAL(103,Sierpień[31])</f>
        <v>0</v>
      </c>
      <c r="AH14" s="7">
        <f>SUBTOTAL(109,Sierpień[Łączna liczba dni])</f>
        <v>0</v>
      </c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3">
    <cfRule type="expression" priority="1" stopIfTrue="1">
      <formula>C7=""</formula>
    </cfRule>
    <cfRule type="expression" dxfId="24" priority="2" stopIfTrue="1">
      <formula>C7=Klucz_niestandardowy_2</formula>
    </cfRule>
    <cfRule type="expression" dxfId="23" priority="3" stopIfTrue="1">
      <formula>C7=Klucz_niestandardowy_1</formula>
    </cfRule>
    <cfRule type="expression" dxfId="22" priority="4" stopIfTrue="1">
      <formula>C7=Klucz_Zwolnienie_lekarskie</formula>
    </cfRule>
    <cfRule type="expression" dxfId="21" priority="5" stopIfTrue="1">
      <formula>C7=Klucz_Osobiste</formula>
    </cfRule>
    <cfRule type="expression" dxfId="20" priority="6" stopIfTrue="1">
      <formula>C7=Klucz_Urlop</formula>
    </cfRule>
  </conditionalFormatting>
  <conditionalFormatting sqref="AH7:AH13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dataValidations count="12"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700-000000000000}"/>
    <dataValidation allowBlank="1" showInputMessage="1" showErrorMessage="1" prompt="Automatycznie aktualizowany rok na podstawie roku wprowadzonego w arkuszu Styczeń." sqref="AH4" xr:uid="{00000000-0002-0000-0700-000001000000}"/>
    <dataValidation allowBlank="1" showInputMessage="1" showErrorMessage="1" prompt="Ta kolumna zawiera automatycznie obliczoną łączną liczbę dni nieobecności pracownika w danym miesiącu." sqref="AH6" xr:uid="{00000000-0002-0000-0700-000002000000}"/>
    <dataValidation allowBlank="1" showInputMessage="1" showErrorMessage="1" prompt="Za pomocą tego arkusza śledź nieobecności w sierpniu" sqref="A1" xr:uid="{00000000-0002-0000-0700-000003000000}"/>
    <dataValidation errorStyle="warning" allowBlank="1" showErrorMessage="1" error="Wybierz nazwisko z listy. Wybierz pozycję ANULUJ, a następnie naciśnij klawisze ALT+STRZAŁKA W DÓŁ i klawisz ENTER, aby wybrać nazwisko" sqref="B6" xr:uid="{00000000-0002-0000-07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700-000005000000}"/>
    <dataValidation allowBlank="1" showErrorMessage="1" sqref="K2:P2 B2:G2" xr:uid="{00000000-0002-0000-0700-000006000000}"/>
    <dataValidation allowBlank="1" showErrorMessage="1" prompt="Wprowadź literę i dostosuj etykietę po prawej, aby dodać kolejny element klucza." sqref="V2" xr:uid="{00000000-0002-0000-0700-000009000000}"/>
    <dataValidation allowBlank="1" showInputMessage="1" showErrorMessage="1" prompt="Miesiąc tego harmonogramu Prac . Zaktualizuj rok w komórce AH4. W ostatniej komórce tabeli są śledzone sumy dni prac  według miesiąca." sqref="B4" xr:uid="{00000000-0002-0000-07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700-00000D000000}"/>
    <dataValidation allowBlank="1" showInputMessage="1" showErrorMessage="1" prompt="Litera 'P' oznacza prace na polu" sqref="Q2" xr:uid="{7F30DE6F-5824-4320-ACF3-D698EB312EE6}"/>
    <dataValidation allowBlank="1" showErrorMessage="1" prompt="Wprowadź etykietę, aby opisać klucz niestandardowy po lewej stronie." sqref="R2:U2 W2:Z2" xr:uid="{2619106E-17E0-454E-8BDC-C674854D5D91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E000000}">
          <x14:formula1>
            <xm:f>'Nazwa prac'!$B$4:$B$14</xm:f>
          </x14:formula1>
          <xm:sqref>B7:B13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  <pageSetUpPr fitToPage="1"/>
  </sheetPr>
  <dimension ref="B1:AL12"/>
  <sheetViews>
    <sheetView showGridLines="0" zoomScale="70" zoomScaleNormal="70" workbookViewId="0">
      <selection activeCell="N10" sqref="N10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0 przygotowanie pola do sadzenia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4"/>
      <c r="D2" s="25"/>
      <c r="E2" s="25"/>
      <c r="F2" s="25"/>
      <c r="G2" s="26"/>
      <c r="H2" s="25"/>
      <c r="I2" s="25"/>
      <c r="J2" s="25"/>
      <c r="K2" s="27"/>
      <c r="L2" s="23"/>
      <c r="M2" s="23"/>
      <c r="N2" s="23"/>
      <c r="O2" s="23"/>
      <c r="P2" s="23"/>
      <c r="Q2" s="3" t="s">
        <v>52</v>
      </c>
      <c r="R2" s="23" t="s">
        <v>62</v>
      </c>
      <c r="S2" s="23"/>
      <c r="T2" s="23"/>
      <c r="U2" s="23"/>
      <c r="V2" s="28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43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2025</v>
      </c>
    </row>
    <row r="5" spans="2:38" ht="15" customHeight="1" x14ac:dyDescent="0.35">
      <c r="B5" s="6"/>
      <c r="C5" s="2" t="str">
        <f>TEXT(WEEKDAY(DATE(Rok_kalendarzowy,9,1),1),"aaa")</f>
        <v>pon</v>
      </c>
      <c r="D5" s="2" t="str">
        <f>TEXT(WEEKDAY(DATE(Rok_kalendarzowy,9,2),1),"aaa")</f>
        <v>wt</v>
      </c>
      <c r="E5" s="2" t="str">
        <f>TEXT(WEEKDAY(DATE(Rok_kalendarzowy,9,3),1),"aaa")</f>
        <v>śr</v>
      </c>
      <c r="F5" s="2" t="str">
        <f>TEXT(WEEKDAY(DATE(Rok_kalendarzowy,9,4),1),"aaa")</f>
        <v>czw</v>
      </c>
      <c r="G5" s="2" t="str">
        <f>TEXT(WEEKDAY(DATE(Rok_kalendarzowy,9,5),1),"aaa")</f>
        <v>pt</v>
      </c>
      <c r="H5" s="2" t="str">
        <f>TEXT(WEEKDAY(DATE(Rok_kalendarzowy,9,6),1),"aaa")</f>
        <v>sob</v>
      </c>
      <c r="I5" s="2" t="str">
        <f>TEXT(WEEKDAY(DATE(Rok_kalendarzowy,9,7),1),"aaa")</f>
        <v>niedz</v>
      </c>
      <c r="J5" s="2" t="str">
        <f>TEXT(WEEKDAY(DATE(Rok_kalendarzowy,9,8),1),"aaa")</f>
        <v>pon</v>
      </c>
      <c r="K5" s="2" t="str">
        <f>TEXT(WEEKDAY(DATE(Rok_kalendarzowy,9,9),1),"aaa")</f>
        <v>wt</v>
      </c>
      <c r="L5" s="2" t="str">
        <f>TEXT(WEEKDAY(DATE(Rok_kalendarzowy,9,10),1),"aaa")</f>
        <v>śr</v>
      </c>
      <c r="M5" s="2" t="str">
        <f>TEXT(WEEKDAY(DATE(Rok_kalendarzowy,9,11),1),"aaa")</f>
        <v>czw</v>
      </c>
      <c r="N5" s="2" t="str">
        <f>TEXT(WEEKDAY(DATE(Rok_kalendarzowy,9,12),1),"aaa")</f>
        <v>pt</v>
      </c>
      <c r="O5" s="2" t="str">
        <f>TEXT(WEEKDAY(DATE(Rok_kalendarzowy,9,13),1),"aaa")</f>
        <v>sob</v>
      </c>
      <c r="P5" s="2" t="str">
        <f>TEXT(WEEKDAY(DATE(Rok_kalendarzowy,9,14),1),"aaa")</f>
        <v>niedz</v>
      </c>
      <c r="Q5" s="2" t="str">
        <f>TEXT(WEEKDAY(DATE(Rok_kalendarzowy,9,15),1),"aaa")</f>
        <v>pon</v>
      </c>
      <c r="R5" s="2" t="str">
        <f>TEXT(WEEKDAY(DATE(Rok_kalendarzowy,9,16),1),"aaa")</f>
        <v>wt</v>
      </c>
      <c r="S5" s="2" t="str">
        <f>TEXT(WEEKDAY(DATE(Rok_kalendarzowy,9,17),1),"aaa")</f>
        <v>śr</v>
      </c>
      <c r="T5" s="2" t="str">
        <f>TEXT(WEEKDAY(DATE(Rok_kalendarzowy,9,18),1),"aaa")</f>
        <v>czw</v>
      </c>
      <c r="U5" s="2" t="str">
        <f>TEXT(WEEKDAY(DATE(Rok_kalendarzowy,9,19),1),"aaa")</f>
        <v>pt</v>
      </c>
      <c r="V5" s="2" t="str">
        <f>TEXT(WEEKDAY(DATE(Rok_kalendarzowy,9,20),1),"aaa")</f>
        <v>sob</v>
      </c>
      <c r="W5" s="2" t="str">
        <f>TEXT(WEEKDAY(DATE(Rok_kalendarzowy,9,21),1),"aaa")</f>
        <v>niedz</v>
      </c>
      <c r="X5" s="2" t="str">
        <f>TEXT(WEEKDAY(DATE(Rok_kalendarzowy,9,22),1),"aaa")</f>
        <v>pon</v>
      </c>
      <c r="Y5" s="2" t="str">
        <f>TEXT(WEEKDAY(DATE(Rok_kalendarzowy,9,23),1),"aaa")</f>
        <v>wt</v>
      </c>
      <c r="Z5" s="2" t="str">
        <f>TEXT(WEEKDAY(DATE(Rok_kalendarzowy,9,24),1),"aaa")</f>
        <v>śr</v>
      </c>
      <c r="AA5" s="2" t="str">
        <f>TEXT(WEEKDAY(DATE(Rok_kalendarzowy,9,25),1),"aaa")</f>
        <v>czw</v>
      </c>
      <c r="AB5" s="2" t="str">
        <f>TEXT(WEEKDAY(DATE(Rok_kalendarzowy,9,26),1),"aaa")</f>
        <v>pt</v>
      </c>
      <c r="AC5" s="2" t="str">
        <f>TEXT(WEEKDAY(DATE(Rok_kalendarzowy,9,27),1),"aaa")</f>
        <v>sob</v>
      </c>
      <c r="AD5" s="2" t="str">
        <f>TEXT(WEEKDAY(DATE(Rok_kalendarzowy,9,28),1),"aaa")</f>
        <v>niedz</v>
      </c>
      <c r="AE5" s="2" t="str">
        <f>TEXT(WEEKDAY(DATE(Rok_kalendarzowy,9,29),1),"aaa")</f>
        <v>pon</v>
      </c>
      <c r="AF5" s="2" t="str">
        <f>TEXT(WEEKDAY(DATE(Rok_kalendarzowy,9,30),1),"aaa")</f>
        <v>wt</v>
      </c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35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COUNTA(Wrzesień[[#This Row],[1]:[30]])</f>
        <v>0</v>
      </c>
      <c r="AJ7" s="20"/>
      <c r="AK7" s="20"/>
      <c r="AL7" s="20"/>
    </row>
    <row r="8" spans="2:38" ht="30" customHeight="1" x14ac:dyDescent="0.35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COUNTA(Wrzesień[[#This Row],[1]:[30]])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COUNTA(Wrzesień[[#This Row],[1]:[30]])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COUNTA(Wrzesień[[#This Row],[1]:[30]])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COUNTA(Wrzesień[[#This Row],[1]:[30]])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Wrzesień</v>
      </c>
      <c r="C12" s="7">
        <f>SUBTOTAL(103,Wrzesień[1])</f>
        <v>0</v>
      </c>
      <c r="D12" s="7">
        <f>SUBTOTAL(103,Wrzesień[2])</f>
        <v>0</v>
      </c>
      <c r="E12" s="7">
        <f>SUBTOTAL(103,Wrzesień[3])</f>
        <v>0</v>
      </c>
      <c r="F12" s="7">
        <f>SUBTOTAL(103,Wrzesień[4])</f>
        <v>0</v>
      </c>
      <c r="G12" s="7">
        <f>SUBTOTAL(103,Wrzesień[5])</f>
        <v>0</v>
      </c>
      <c r="H12" s="7">
        <f>SUBTOTAL(103,Wrzesień[6])</f>
        <v>0</v>
      </c>
      <c r="I12" s="7">
        <f>SUBTOTAL(103,Wrzesień[7])</f>
        <v>0</v>
      </c>
      <c r="J12" s="7">
        <f>SUBTOTAL(103,Wrzesień[8])</f>
        <v>0</v>
      </c>
      <c r="K12" s="7">
        <f>SUBTOTAL(103,Wrzesień[9])</f>
        <v>0</v>
      </c>
      <c r="L12" s="7">
        <f>SUBTOTAL(103,Wrzesień[10])</f>
        <v>0</v>
      </c>
      <c r="M12" s="7">
        <f>SUBTOTAL(103,Wrzesień[11])</f>
        <v>0</v>
      </c>
      <c r="N12" s="7">
        <f>SUBTOTAL(103,Wrzesień[12])</f>
        <v>0</v>
      </c>
      <c r="O12" s="7">
        <f>SUBTOTAL(103,Wrzesień[13])</f>
        <v>0</v>
      </c>
      <c r="P12" s="7">
        <f>SUBTOTAL(103,Wrzesień[14])</f>
        <v>0</v>
      </c>
      <c r="Q12" s="7">
        <f>SUBTOTAL(103,Wrzesień[15])</f>
        <v>0</v>
      </c>
      <c r="R12" s="7">
        <f>SUBTOTAL(103,Wrzesień[16])</f>
        <v>0</v>
      </c>
      <c r="S12" s="7">
        <f>SUBTOTAL(103,Wrzesień[17])</f>
        <v>0</v>
      </c>
      <c r="T12" s="7">
        <f>SUBTOTAL(103,Wrzesień[18])</f>
        <v>0</v>
      </c>
      <c r="U12" s="7">
        <f>SUBTOTAL(103,Wrzesień[19])</f>
        <v>0</v>
      </c>
      <c r="V12" s="7">
        <f>SUBTOTAL(103,Wrzesień[20])</f>
        <v>0</v>
      </c>
      <c r="W12" s="7">
        <f>SUBTOTAL(103,Wrzesień[21])</f>
        <v>0</v>
      </c>
      <c r="X12" s="7">
        <f>SUBTOTAL(103,Wrzesień[22])</f>
        <v>0</v>
      </c>
      <c r="Y12" s="7">
        <f>SUBTOTAL(103,Wrzesień[23])</f>
        <v>0</v>
      </c>
      <c r="Z12" s="7">
        <f>SUBTOTAL(103,Wrzesień[24])</f>
        <v>0</v>
      </c>
      <c r="AA12" s="7">
        <f>SUBTOTAL(103,Wrzesień[25])</f>
        <v>0</v>
      </c>
      <c r="AB12" s="7">
        <f>SUBTOTAL(103,Wrzesień[26])</f>
        <v>0</v>
      </c>
      <c r="AC12" s="7">
        <f>SUBTOTAL(103,Wrzesień[27])</f>
        <v>0</v>
      </c>
      <c r="AD12" s="7">
        <f>SUBTOTAL(103,Wrzesień[28])</f>
        <v>0</v>
      </c>
      <c r="AE12" s="7">
        <f>SUBTOTAL(103,Wrzesień[29])</f>
        <v>0</v>
      </c>
      <c r="AF12" s="7">
        <f>SUBTOTAL(103,Wrzesień[30])</f>
        <v>0</v>
      </c>
      <c r="AG12" s="7">
        <f>SUBTOTAL(103,Wrzesień[[ ]])</f>
        <v>0</v>
      </c>
      <c r="AH12" s="7">
        <f>SUBTOTAL(109,Wrzesień[Łączna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19" priority="2" stopIfTrue="1">
      <formula>C7=Klucz_niestandardowy_2</formula>
    </cfRule>
    <cfRule type="expression" dxfId="18" priority="3" stopIfTrue="1">
      <formula>C7=Klucz_niestandardowy_1</formula>
    </cfRule>
    <cfRule type="expression" dxfId="17" priority="4" stopIfTrue="1">
      <formula>C7=Klucz_Zwolnienie_lekarskie</formula>
    </cfRule>
    <cfRule type="expression" dxfId="16" priority="5" stopIfTrue="1">
      <formula>C7=Klucz_Osobiste</formula>
    </cfRule>
    <cfRule type="expression" dxfId="1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800-000000000000}"/>
    <dataValidation allowBlank="1" showInputMessage="1" showErrorMessage="1" prompt="Miesiąc tego harmonogramu Prac . Zaktualizuj rok w komórce AH4. W ostatniej komórce tabeli są śledzone sumy dni prac  według miesiąca." sqref="B4" xr:uid="{00000000-0002-0000-0800-000001000000}"/>
    <dataValidation allowBlank="1" showErrorMessage="1" sqref="B2:G2 K2:P2" xr:uid="{00000000-0002-0000-0800-000002000000}"/>
    <dataValidation allowBlank="1" showErrorMessage="1" prompt="Wprowadź literę i dostosuj etykietę po prawej, aby dodać kolejny element klucza." sqref="V2" xr:uid="{00000000-0002-0000-08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800-000008000000}"/>
    <dataValidation errorStyle="warning" allowBlank="1" showErrorMessage="1" error="Wybierz nazwisko z listy. Wybierz pozycję ANULUJ, a następnie naciśnij klawisze ALT+STRZAŁKA W DÓŁ i klawisz ENTER, aby wybrać nazwisko" sqref="B6" xr:uid="{00000000-0002-0000-0800-000009000000}"/>
    <dataValidation allowBlank="1" showInputMessage="1" showErrorMessage="1" prompt="Za pomocą tego arkusza śledź nieobecności we wrześniu" sqref="A1" xr:uid="{00000000-0002-0000-0800-00000A000000}"/>
    <dataValidation allowBlank="1" showInputMessage="1" showErrorMessage="1" prompt="Ta kolumna zawiera automatycznie obliczoną łączną liczbę dni nieobecności pracownika w danym miesiącu." sqref="AH6" xr:uid="{00000000-0002-0000-0800-00000B000000}"/>
    <dataValidation allowBlank="1" showInputMessage="1" showErrorMessage="1" prompt="Automatycznie aktualizowany rok na podstawie roku wprowadzonego w arkuszu Styczeń." sqref="AH4" xr:uid="{00000000-0002-0000-08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800-00000D000000}"/>
    <dataValidation allowBlank="1" showInputMessage="1" showErrorMessage="1" prompt="Litera 'P' oznacza prace na polu" sqref="Q2" xr:uid="{432F9C20-A4E2-4339-8C84-84557EC5A735}"/>
    <dataValidation allowBlank="1" showErrorMessage="1" prompt="Wprowadź etykietę, aby opisać klucz niestandardowy po lewej stronie." sqref="R2:U2 W2:Z2" xr:uid="{E421DA00-4E29-4170-B8F1-40D4443D064E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E000000}">
          <x14:formula1>
            <xm:f>'Nazwa prac'!$B$4:$B$14</xm:f>
          </x14:formula1>
          <xm:sqref>B7:B11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49</vt:i4>
      </vt:variant>
    </vt:vector>
  </HeadingPairs>
  <TitlesOfParts>
    <vt:vector size="62" baseType="lpstr">
      <vt:lpstr>Styczeń</vt:lpstr>
      <vt:lpstr>Luty</vt:lpstr>
      <vt:lpstr>Marzec</vt:lpstr>
      <vt:lpstr>Kwiecień</vt:lpstr>
      <vt:lpstr>Maj</vt:lpstr>
      <vt:lpstr>Czerwiec</vt:lpstr>
      <vt:lpstr>Lipiec</vt:lpstr>
      <vt:lpstr>Sierpień</vt:lpstr>
      <vt:lpstr>Wrzesień</vt:lpstr>
      <vt:lpstr>Październik</vt:lpstr>
      <vt:lpstr>Listopad</vt:lpstr>
      <vt:lpstr>Grudzień</vt:lpstr>
      <vt:lpstr>Nazwa prac</vt:lpstr>
      <vt:lpstr>Etykieta_klucza_niestandardowego_1</vt:lpstr>
      <vt:lpstr>Etykieta_klucza_niestandardowego_2</vt:lpstr>
      <vt:lpstr>Etykieta_klucza_Osobiste</vt:lpstr>
      <vt:lpstr>Etykieta_klucza_Urlop</vt:lpstr>
      <vt:lpstr>Etykieta_klucza_Zwolnienie_lekarskie</vt:lpstr>
      <vt:lpstr>Klucz_nazwisko</vt:lpstr>
      <vt:lpstr>Klucz_niestandardowy_1</vt:lpstr>
      <vt:lpstr>Klucz_niestandardowy_2</vt:lpstr>
      <vt:lpstr>Klucz_Osobiste</vt:lpstr>
      <vt:lpstr>Klucz_Zwolnienie_lekarskie</vt:lpstr>
      <vt:lpstr>'Czerwiec'!Nazwa_miesiąca</vt:lpstr>
      <vt:lpstr>Grudzień!Nazwa_miesiąca</vt:lpstr>
      <vt:lpstr>'Kwiecień'!Nazwa_miesiąca</vt:lpstr>
      <vt:lpstr>Lipiec!Nazwa_miesiąca</vt:lpstr>
      <vt:lpstr>Listopad!Nazwa_miesiąca</vt:lpstr>
      <vt:lpstr>Luty!Nazwa_miesiąca</vt:lpstr>
      <vt:lpstr>Maj!Nazwa_miesiąca</vt:lpstr>
      <vt:lpstr>Marzec!Nazwa_miesiąca</vt:lpstr>
      <vt:lpstr>Październik!Nazwa_miesiąca</vt:lpstr>
      <vt:lpstr>Sierpień!Nazwa_miesiąca</vt:lpstr>
      <vt:lpstr>Styczeń!Nazwa_miesiąca</vt:lpstr>
      <vt:lpstr>'Wrzesień'!Nazwa_miesiąca</vt:lpstr>
      <vt:lpstr>Rok_kalendarzowy</vt:lpstr>
      <vt:lpstr>Tytuł_kolumny_13</vt:lpstr>
      <vt:lpstr>Tytuł_Nieobecności_pracowników</vt:lpstr>
      <vt:lpstr>Tytuł1</vt:lpstr>
      <vt:lpstr>Tytuł10</vt:lpstr>
      <vt:lpstr>Tytuł11</vt:lpstr>
      <vt:lpstr>Tytuł12</vt:lpstr>
      <vt:lpstr>Tytuł2</vt:lpstr>
      <vt:lpstr>Tytuł3</vt:lpstr>
      <vt:lpstr>Tytuł4</vt:lpstr>
      <vt:lpstr>Tytuł5</vt:lpstr>
      <vt:lpstr>Tytuł6</vt:lpstr>
      <vt:lpstr>Tytuł7</vt:lpstr>
      <vt:lpstr>Tytuł8</vt:lpstr>
      <vt:lpstr>Tytuł9</vt:lpstr>
      <vt:lpstr>'Czerwiec'!Tytuły_wydruku</vt:lpstr>
      <vt:lpstr>Grudzień!Tytuły_wydruku</vt:lpstr>
      <vt:lpstr>'Kwiecień'!Tytuły_wydruku</vt:lpstr>
      <vt:lpstr>Lipiec!Tytuły_wydruku</vt:lpstr>
      <vt:lpstr>Listopad!Tytuły_wydruku</vt:lpstr>
      <vt:lpstr>Luty!Tytuły_wydruku</vt:lpstr>
      <vt:lpstr>Maj!Tytuły_wydruku</vt:lpstr>
      <vt:lpstr>Marzec!Tytuły_wydruku</vt:lpstr>
      <vt:lpstr>Październik!Tytuły_wydruku</vt:lpstr>
      <vt:lpstr>Sierpień!Tytuły_wydruku</vt:lpstr>
      <vt:lpstr>Styczeń!Tytuły_wydruku</vt:lpstr>
      <vt:lpstr>'Wrzesień'!Tytuły_wydruku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Małgorzata Sawczenko</dc:creator>
  <cp:lastModifiedBy>Małgorzata Sawczenko</cp:lastModifiedBy>
  <dcterms:created xsi:type="dcterms:W3CDTF">2016-12-06T04:52:27Z</dcterms:created>
  <dcterms:modified xsi:type="dcterms:W3CDTF">2025-03-21T09:18:15Z</dcterms:modified>
</cp:coreProperties>
</file>